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56" activeTab="0"/>
  </bookViews>
  <sheets>
    <sheet name="1.4 devengado" sheetId="1" r:id="rId1"/>
    <sheet name="Planta Ocupada" sheetId="2" state="hidden" r:id="rId2"/>
    <sheet name="Gasto en Personal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Seven</author>
  </authors>
  <commentList>
    <comment ref="D77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 135182791,69 DE 212 + 30960234,08    DE  533 + 1INSS
</t>
        </r>
      </text>
    </comment>
    <comment ref="A78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ESTOS GS SON AJUSTADOS POR NACION CADA TRES MESES</t>
        </r>
      </text>
    </comment>
    <comment ref="A71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PEDIR LA LIQUIDACION A ECOM 
</t>
        </r>
      </text>
    </comment>
    <comment ref="A72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200</t>
        </r>
      </text>
    </comment>
    <comment ref="A73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300</t>
        </r>
      </text>
    </comment>
    <comment ref="A75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PEDIR PLANILLA DE STOCK DE DUEDA A DUSEK
</t>
        </r>
      </text>
    </comment>
    <comment ref="A80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PEDIR LIQUIDACION UEP A NADIA</t>
        </r>
      </text>
    </comment>
    <comment ref="B81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en acen debo restar lo que se paga de bocep ( jur 38- part 533) y lo de pensiones ( jur 28 part 512) y llevarlo a gastos corrtientes de insse por prestaciones y jubilaciones . Y despues ponerlo como un ingreso figurativo en inssep y gasto figurativo en acen
</t>
        </r>
      </text>
    </comment>
    <comment ref="A77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PENSIONES (512) ACEN  + BOCEP (533) ACEN
 Y JUBILACIONES QUE PAGA INSSSEP </t>
        </r>
      </text>
    </comment>
    <comment ref="A81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TODO 5.10 MENOS LA 515 Y MENOS 512 QUE VA A LA COLUMNA DE INS COMO GASTO Y COMO INGRESO FIG
</t>
        </r>
      </text>
    </comment>
    <comment ref="A86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partida 533 va en prestaciones de la columna de inssep y despues  es un ingreso fig para insssep y un gasto figurativo para acen
</t>
        </r>
      </text>
    </comment>
    <comment ref="D68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prestamos que le hace la obra social al inssep.. Monto estimado del 11,32% sobre el total de las contirb que paga insssep</t>
        </r>
      </text>
    </comment>
    <comment ref="D139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240000000 de prestamos a insssep + bocep + pensiones
</t>
        </r>
      </text>
    </comment>
    <comment ref="C139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son los ingresos figurativos de desc… voy a rec
</t>
        </r>
      </text>
    </comment>
    <comment ref="A155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RERC 330000 DE LA PLANILLA DEL SAFYC ( ENDEUDAMIENTO PUBLICO )
</t>
        </r>
      </text>
    </comment>
    <comment ref="A157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DIFERENCIA DE GASTOS TOTALES ENTRE LA PLANILLA DEVENGADO Y PAGADO</t>
        </r>
      </text>
    </comment>
    <comment ref="A152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se incorporan los deembolsos de prestamos recibidos , por lo percibido 
y las operaciones de financiamiento a CP </t>
        </r>
      </text>
    </comment>
    <comment ref="A167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se computan las amortizciones de deudas devengadas </t>
        </r>
      </text>
    </comment>
    <comment ref="A84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P 571
</t>
        </r>
      </text>
    </comment>
    <comment ref="A85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P 572</t>
        </r>
      </text>
    </comment>
    <comment ref="A88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TODO 530 MAS 550 MENOS 533</t>
        </r>
      </text>
    </comment>
    <comment ref="A153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letras a largo plazo ( son las letras emitidas en el 2014 a vencer en el 2015
</t>
        </r>
      </text>
    </comment>
    <comment ref="A165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son las letras emitidas en el 2013 que vencieron en el 2014</t>
        </r>
      </text>
    </comment>
    <comment ref="A164" authorId="0">
      <text>
        <r>
          <rPr>
            <b/>
            <sz val="9"/>
            <rFont val="Tahoma"/>
            <family val="2"/>
          </rPr>
          <t>Seven:</t>
        </r>
        <r>
          <rPr>
            <sz val="9"/>
            <rFont val="Tahoma"/>
            <family val="2"/>
          </rPr>
          <t xml:space="preserve">
son las letras q se emitieron en el 2014 y se pagaron en el mismo eje
</t>
        </r>
      </text>
    </comment>
  </commentList>
</comments>
</file>

<file path=xl/sharedStrings.xml><?xml version="1.0" encoding="utf-8"?>
<sst xmlns="http://schemas.openxmlformats.org/spreadsheetml/2006/main" count="376" uniqueCount="352">
  <si>
    <t>CONSOLIDADO ADMINISTRACION PUBLICA NO FINANCIERA</t>
  </si>
  <si>
    <t>PROVINCIA DE CHACO</t>
  </si>
  <si>
    <t>CONCEPTO</t>
  </si>
  <si>
    <t>ADMINIST. CENTRAL</t>
  </si>
  <si>
    <t>ORG. DESCENT.</t>
  </si>
  <si>
    <t>INST. DE SEG.
SOCIAL</t>
  </si>
  <si>
    <t>SUBTOTAL</t>
  </si>
  <si>
    <t>(1)</t>
  </si>
  <si>
    <t>(2)</t>
  </si>
  <si>
    <t>(4)</t>
  </si>
  <si>
    <t>(5)=(1+2+3+4)</t>
  </si>
  <si>
    <t>I. INGRESOS CORRIENTES</t>
  </si>
  <si>
    <r>
      <t xml:space="preserve">   . </t>
    </r>
    <r>
      <rPr>
        <b/>
        <u val="single"/>
        <sz val="12"/>
        <rFont val="Arial"/>
        <family val="2"/>
      </rPr>
      <t>Tributarios</t>
    </r>
  </si>
  <si>
    <t xml:space="preserve">      - De Orígen Provincial</t>
  </si>
  <si>
    <t xml:space="preserve">            - Ingresos Brutos</t>
  </si>
  <si>
    <t xml:space="preserve">            - Inmobiliario</t>
  </si>
  <si>
    <t xml:space="preserve">            - Sellos</t>
  </si>
  <si>
    <t xml:space="preserve">            - Automotores</t>
  </si>
  <si>
    <t xml:space="preserve">            - Otros Recursos Tributarios</t>
  </si>
  <si>
    <t xml:space="preserve">      - De Orígen Nacional</t>
  </si>
  <si>
    <t xml:space="preserve">               - Distribución Secundaria Neta de la Ley 26075</t>
  </si>
  <si>
    <t xml:space="preserve">               - Ley de Financiamiento Educativo Nº 26075</t>
  </si>
  <si>
    <t xml:space="preserve">            - Sub - Total</t>
  </si>
  <si>
    <t xml:space="preserve">            - Otros de Origen Nacional</t>
  </si>
  <si>
    <t xml:space="preserve">            - Garantía de Coparticipación</t>
  </si>
  <si>
    <t xml:space="preserve">            - Ley 24049 - Transf. Servicios Educativos</t>
  </si>
  <si>
    <t xml:space="preserve">            - Ley 24049 - POSOCO - PROSONU</t>
  </si>
  <si>
    <t xml:space="preserve">            - Ley 24049 - HOSPITALES Y MINORIDAD Y FLIA.</t>
  </si>
  <si>
    <t xml:space="preserve">            - Impuesto a los Activos  - Ley 23906</t>
  </si>
  <si>
    <t xml:space="preserve">            - Impuesto a las Ganancias - Obras Infraestruc. B.Social</t>
  </si>
  <si>
    <t xml:space="preserve">            - Impuesto a las Ganancias - Exc. de obras púb. De carácter social a Bs. A.s</t>
  </si>
  <si>
    <t xml:space="preserve">            - Impuesto a las Ganancias - Suma Fija - Ley  24621</t>
  </si>
  <si>
    <t xml:space="preserve">            - Impuesto a las Ganancias - Ley  24699</t>
  </si>
  <si>
    <t xml:space="preserve">            - Impuesto a los Bienes Personales - Ley 24699</t>
  </si>
  <si>
    <t xml:space="preserve">            - Impuesto a los Bienes Personales- Ley  23966 - Art.30</t>
  </si>
  <si>
    <t xml:space="preserve">            - IVA - Ley 23966 art 5º Pto.2</t>
  </si>
  <si>
    <t xml:space="preserve">            - Fondo Sub. Comp. de Tarifas Eléctricas Ley Nº 24065</t>
  </si>
  <si>
    <t xml:space="preserve">            - Fondo Compensador Desequilibrios Fiscales</t>
  </si>
  <si>
    <t xml:space="preserve">            - Fondo Energía Eléctrica</t>
  </si>
  <si>
    <t xml:space="preserve">            - Otros</t>
  </si>
  <si>
    <t xml:space="preserve">               - Regimen Simplificado para Pequeños Contribuyentes</t>
  </si>
  <si>
    <t xml:space="preserve">               - Fondo Gran Rosario</t>
  </si>
  <si>
    <t xml:space="preserve">               - Fdo. Educ. y Prom. Cooperativa (Ley Nº 23.427)</t>
  </si>
  <si>
    <t xml:space="preserve">               - Moratoria Dto. 1023/95</t>
  </si>
  <si>
    <t xml:space="preserve">               - Otros </t>
  </si>
  <si>
    <t xml:space="preserve">         - Afectados a Obras Públicas</t>
  </si>
  <si>
    <t xml:space="preserve">            - Obras de Infraestructura - Ley 23966 </t>
  </si>
  <si>
    <t xml:space="preserve">            - Coparticipación Vial - Ley 23966</t>
  </si>
  <si>
    <t xml:space="preserve">            - F.E.D.E.I. - Ley 23966</t>
  </si>
  <si>
    <t xml:space="preserve">            - FO.NA.VI. - Ley 23966 y 24464</t>
  </si>
  <si>
    <r>
      <t xml:space="preserve">   . </t>
    </r>
    <r>
      <rPr>
        <b/>
        <u val="single"/>
        <sz val="12"/>
        <rFont val="Arial"/>
        <family val="2"/>
      </rPr>
      <t>Contribuciones a la Seguridad Social</t>
    </r>
  </si>
  <si>
    <t xml:space="preserve">      - Aportes y Retenc. que perciben Org.de Prev. y Asist.Soc.</t>
  </si>
  <si>
    <r>
      <t xml:space="preserve">   . </t>
    </r>
    <r>
      <rPr>
        <b/>
        <u val="single"/>
        <sz val="12"/>
        <rFont val="Arial"/>
        <family val="2"/>
      </rPr>
      <t>No Tributarios</t>
    </r>
  </si>
  <si>
    <t xml:space="preserve">      - Regalías</t>
  </si>
  <si>
    <t xml:space="preserve">                     - de Hidrocarburos</t>
  </si>
  <si>
    <t xml:space="preserve">                     - de Recursos Hídricos y Otros</t>
  </si>
  <si>
    <t xml:space="preserve">      - Otros No Tributarios</t>
  </si>
  <si>
    <r>
      <t xml:space="preserve">   . </t>
    </r>
    <r>
      <rPr>
        <b/>
        <u val="single"/>
        <sz val="12"/>
        <rFont val="Arial"/>
        <family val="2"/>
      </rPr>
      <t>Vta.Bienes y Serv.de la Adm.Publ.</t>
    </r>
  </si>
  <si>
    <t xml:space="preserve">     - Actividades de Prod.Empr.Públ.</t>
  </si>
  <si>
    <r>
      <t xml:space="preserve">   . </t>
    </r>
    <r>
      <rPr>
        <b/>
        <u val="single"/>
        <sz val="12"/>
        <rFont val="Arial"/>
        <family val="2"/>
      </rPr>
      <t>Rentas de la Propiedad</t>
    </r>
  </si>
  <si>
    <t xml:space="preserve">     - Intereses Cobrados</t>
  </si>
  <si>
    <r>
      <t xml:space="preserve">   . </t>
    </r>
    <r>
      <rPr>
        <b/>
        <u val="single"/>
        <sz val="12"/>
        <rFont val="Arial"/>
        <family val="2"/>
      </rPr>
      <t>Transferencias Corrientes</t>
    </r>
  </si>
  <si>
    <t xml:space="preserve">      - Aportes No Reinteg. p/Financ.Erogac.Ctes.</t>
  </si>
  <si>
    <t xml:space="preserve">      - ATN p/Financ.Erog.Ctes.</t>
  </si>
  <si>
    <t xml:space="preserve">           - Fondo de A.T.N.</t>
  </si>
  <si>
    <t xml:space="preserve">           - Aporte Ministerio de Economía</t>
  </si>
  <si>
    <t xml:space="preserve">           - Aporte Ministerio del Interior</t>
  </si>
  <si>
    <t xml:space="preserve">      - Subsidio a los Consumidores de Gas</t>
  </si>
  <si>
    <t xml:space="preserve">      - Otras Transferencias Corrientes</t>
  </si>
  <si>
    <t>II. GASTOS CORRIENTES</t>
  </si>
  <si>
    <r>
      <t xml:space="preserve">    . </t>
    </r>
    <r>
      <rPr>
        <b/>
        <u val="single"/>
        <sz val="12"/>
        <rFont val="Arial"/>
        <family val="2"/>
      </rPr>
      <t>Gastos de Consumo</t>
    </r>
  </si>
  <si>
    <t xml:space="preserve">       - Personal</t>
  </si>
  <si>
    <t xml:space="preserve">       - Bienes de Consumo</t>
  </si>
  <si>
    <t xml:space="preserve">       - Servicios</t>
  </si>
  <si>
    <r>
      <t xml:space="preserve">    . </t>
    </r>
    <r>
      <rPr>
        <b/>
        <u val="single"/>
        <sz val="12"/>
        <rFont val="Arial"/>
        <family val="2"/>
      </rPr>
      <t>Rentas de la Propiedad</t>
    </r>
  </si>
  <si>
    <t xml:space="preserve">       - Intereses y Gtos de la Deuda</t>
  </si>
  <si>
    <r>
      <t xml:space="preserve">    . </t>
    </r>
    <r>
      <rPr>
        <b/>
        <u val="single"/>
        <sz val="12"/>
        <rFont val="Arial"/>
        <family val="2"/>
      </rPr>
      <t>Prestaciones de la Seguridad Social</t>
    </r>
  </si>
  <si>
    <t xml:space="preserve">      - Prestac. que brindan los Org.de Prev. y Asist.Soc.</t>
  </si>
  <si>
    <r>
      <t xml:space="preserve">    . </t>
    </r>
    <r>
      <rPr>
        <b/>
        <u val="single"/>
        <sz val="12"/>
        <rFont val="Arial"/>
        <family val="2"/>
      </rPr>
      <t>Transferencias Corrientes</t>
    </r>
  </si>
  <si>
    <t xml:space="preserve">        - Al Sector Privado</t>
  </si>
  <si>
    <t xml:space="preserve">           . Enseñanza Privada</t>
  </si>
  <si>
    <t xml:space="preserve">           . Otros</t>
  </si>
  <si>
    <t xml:space="preserve">        - Al Sector Público</t>
  </si>
  <si>
    <t xml:space="preserve">           . Municipios</t>
  </si>
  <si>
    <t xml:space="preserve">                 . Coparticipación a Municipios</t>
  </si>
  <si>
    <t xml:space="preserve">                 . Subsidios a Municipios </t>
  </si>
  <si>
    <t xml:space="preserve">           . Organismos de Seguridad Social</t>
  </si>
  <si>
    <t xml:space="preserve">           . Organismos no Consolidados Presup.</t>
  </si>
  <si>
    <t xml:space="preserve">        - Al Sector Externo</t>
  </si>
  <si>
    <t>III. RESULTADO ECONOMICO</t>
  </si>
  <si>
    <t>IV. INGRESOS DE CAPITAL</t>
  </si>
  <si>
    <r>
      <t xml:space="preserve">     . </t>
    </r>
    <r>
      <rPr>
        <b/>
        <u val="single"/>
        <sz val="12"/>
        <rFont val="Arial"/>
        <family val="2"/>
      </rPr>
      <t>Recursos Propios de Capital</t>
    </r>
  </si>
  <si>
    <t xml:space="preserve">        - Venta de Activo Fijo</t>
  </si>
  <si>
    <r>
      <t xml:space="preserve">     . </t>
    </r>
    <r>
      <rPr>
        <b/>
        <u val="single"/>
        <sz val="12"/>
        <rFont val="Arial"/>
        <family val="2"/>
      </rPr>
      <t>Transferencias de Capital</t>
    </r>
  </si>
  <si>
    <t xml:space="preserve">        - Aportes No Reinteg. p/Financ.Erog. de Capital</t>
  </si>
  <si>
    <t xml:space="preserve">        - Fondo Desarrollo Regional</t>
  </si>
  <si>
    <t xml:space="preserve">        - ATN p/Finan. Erog. de Capital</t>
  </si>
  <si>
    <t xml:space="preserve">        - Otras Transferencias de Capital</t>
  </si>
  <si>
    <r>
      <t xml:space="preserve">     . </t>
    </r>
    <r>
      <rPr>
        <b/>
        <u val="single"/>
        <sz val="12"/>
        <rFont val="Arial"/>
        <family val="2"/>
      </rPr>
      <t>Disminución de la Inversión Financiera</t>
    </r>
  </si>
  <si>
    <t xml:space="preserve">        - Venta de Acciones y Participaciones de Capital</t>
  </si>
  <si>
    <t xml:space="preserve">        - Recupero de Préstamos</t>
  </si>
  <si>
    <t xml:space="preserve"> V. GASTOS DE CAPITAL</t>
  </si>
  <si>
    <r>
      <t xml:space="preserve">      . </t>
    </r>
    <r>
      <rPr>
        <b/>
        <u val="single"/>
        <sz val="12"/>
        <rFont val="Arial"/>
        <family val="2"/>
      </rPr>
      <t>Inversión Real Directa</t>
    </r>
  </si>
  <si>
    <t xml:space="preserve">        - Maquinaria y Equipo</t>
  </si>
  <si>
    <t xml:space="preserve">        - Construcciones</t>
  </si>
  <si>
    <t xml:space="preserve">                             - Con Rentas Generales</t>
  </si>
  <si>
    <t xml:space="preserve">                             - Con Recursos Afectados</t>
  </si>
  <si>
    <t xml:space="preserve">                                   - RON</t>
  </si>
  <si>
    <t xml:space="preserve">                                   - Transferencias de Capital</t>
  </si>
  <si>
    <t xml:space="preserve">                                   - FOFESO</t>
  </si>
  <si>
    <t xml:space="preserve">                                   - Endeudamiento</t>
  </si>
  <si>
    <t xml:space="preserve">                                   - Otras Fuentes</t>
  </si>
  <si>
    <t xml:space="preserve">        - Bienes Preexistentes</t>
  </si>
  <si>
    <t xml:space="preserve">        - Otras</t>
  </si>
  <si>
    <r>
      <t xml:space="preserve">      . </t>
    </r>
    <r>
      <rPr>
        <b/>
        <u val="single"/>
        <sz val="12"/>
        <rFont val="Arial"/>
        <family val="2"/>
      </rPr>
      <t>Transferencias de Capital</t>
    </r>
  </si>
  <si>
    <r>
      <t xml:space="preserve">      . </t>
    </r>
    <r>
      <rPr>
        <b/>
        <u val="single"/>
        <sz val="12"/>
        <rFont val="Arial"/>
        <family val="2"/>
      </rPr>
      <t>Inversión Financiera</t>
    </r>
  </si>
  <si>
    <t xml:space="preserve">        - Aportes de Capital</t>
  </si>
  <si>
    <t xml:space="preserve">        - Prestamos</t>
  </si>
  <si>
    <t xml:space="preserve"> VI. INGRESOS TOTALES (I+IV)</t>
  </si>
  <si>
    <t xml:space="preserve"> VII. GASTOS TOTALES (II+V)</t>
  </si>
  <si>
    <t xml:space="preserve"> VIII. GASTOS PRIMARIOS (VII - Rentas de la Propiedad)</t>
  </si>
  <si>
    <t xml:space="preserve"> IX. RESULTADO FINANCIERO PREVIO A FIGURATIV. (VI-VII)</t>
  </si>
  <si>
    <t xml:space="preserve"> X. CONTRIBUCIONES FIGURATIVAS </t>
  </si>
  <si>
    <t xml:space="preserve"> XI. GASTOS  FIGURATIVOS </t>
  </si>
  <si>
    <t xml:space="preserve"> XII. RESULTADO PRIMARIO (VI-VIII)</t>
  </si>
  <si>
    <t>XIII. RESULTADO FINANCIERO  (IX+X-XI)</t>
  </si>
  <si>
    <t xml:space="preserve"> </t>
  </si>
  <si>
    <t>Negativo corresponde a una aplicación financiera y positivo a una fuente financiera.</t>
  </si>
  <si>
    <t>PERSONAL</t>
  </si>
  <si>
    <t>XVI. FUENTES FINANCIERAS</t>
  </si>
  <si>
    <t xml:space="preserve">       - Uso del Fondo Anticiclico</t>
  </si>
  <si>
    <t xml:space="preserve">       - Disminución de Caja y Bancos</t>
  </si>
  <si>
    <t xml:space="preserve">       - Compensación por Disminución de DF por Figurativas</t>
  </si>
  <si>
    <r>
      <t xml:space="preserve">     . </t>
    </r>
    <r>
      <rPr>
        <b/>
        <u val="single"/>
        <sz val="12"/>
        <rFont val="Arial"/>
        <family val="2"/>
      </rPr>
      <t>Endeudamiento Público e Increm. de Otros Pasivos</t>
    </r>
  </si>
  <si>
    <t xml:space="preserve">       - Colocoación de Títulos Públicos</t>
  </si>
  <si>
    <t xml:space="preserve">       - Obtención de Préstamos de OIC y FFFIR</t>
  </si>
  <si>
    <t xml:space="preserve">       - Asistencia Financiera del Gobierno Nacional</t>
  </si>
  <si>
    <t xml:space="preserve">       - Aumento Deuda Flotante del Ejercicio</t>
  </si>
  <si>
    <t xml:space="preserve">       - Aumento Deuda Flotante por Figurativas</t>
  </si>
  <si>
    <t xml:space="preserve">     . Contribuciones Figurativas para Aplicaciones Financieras</t>
  </si>
  <si>
    <t>XV. APLICACIONES FINANCIERAS</t>
  </si>
  <si>
    <r>
      <t xml:space="preserve">       . </t>
    </r>
    <r>
      <rPr>
        <b/>
        <u val="single"/>
        <sz val="12"/>
        <rFont val="Arial"/>
        <family val="2"/>
      </rPr>
      <t>Inversión Financiera</t>
    </r>
  </si>
  <si>
    <t xml:space="preserve">          - Integración del Fondo Anticiclico</t>
  </si>
  <si>
    <t xml:space="preserve">          - Incremento de Caja y Bancos</t>
  </si>
  <si>
    <t xml:space="preserve">         - Compensación por Aumento de DF por Figurativas</t>
  </si>
  <si>
    <r>
      <t xml:space="preserve">       . </t>
    </r>
    <r>
      <rPr>
        <b/>
        <u val="single"/>
        <sz val="12"/>
        <rFont val="Arial"/>
        <family val="2"/>
      </rPr>
      <t>Amortiz. Deuda y Disminución Otros Pasivos</t>
    </r>
  </si>
  <si>
    <t xml:space="preserve">          - Amortización de Títulos Públicos</t>
  </si>
  <si>
    <t xml:space="preserve">          - Devolución de Préstamos de Organismos Internacionales</t>
  </si>
  <si>
    <t xml:space="preserve">          - Devolución de Otros Préstamos </t>
  </si>
  <si>
    <t xml:space="preserve">          - Asistencia Financiera ATN</t>
  </si>
  <si>
    <t xml:space="preserve">          - Disminución de  Deuda Flotante de Ejercicios anteriores</t>
  </si>
  <si>
    <t xml:space="preserve">          - Disminución de  Deuda Flotante por Figurativas</t>
  </si>
  <si>
    <t xml:space="preserve">       . Gastos Figurativos para Aplicacines Financieras </t>
  </si>
  <si>
    <t>XVI. OTROS CONCEPTOS NO INFORMADOS</t>
  </si>
  <si>
    <t xml:space="preserve">  J U R I S D I C C I O N E S</t>
  </si>
  <si>
    <t>PLANTA</t>
  </si>
  <si>
    <t>AUTOR.</t>
  </si>
  <si>
    <t>TOTALES</t>
  </si>
  <si>
    <t>PERMANENTE</t>
  </si>
  <si>
    <t>SUPERIORES</t>
  </si>
  <si>
    <t>TEMPORARIO</t>
  </si>
  <si>
    <t xml:space="preserve"> 1.PODER LEGISLATIVO</t>
  </si>
  <si>
    <t xml:space="preserve"> 2.PODER JUDICIAL</t>
  </si>
  <si>
    <t xml:space="preserve"> 3.CONSEJO DE LA MAGISTRATURA</t>
  </si>
  <si>
    <t xml:space="preserve"> 4.TRIBUNAL ELECTORAL</t>
  </si>
  <si>
    <t xml:space="preserve"> 5.TRIBUNAL DE CUENTAS</t>
  </si>
  <si>
    <t xml:space="preserve"> 6.FISCALIA INVESTIGACIONES ADMIN.</t>
  </si>
  <si>
    <t xml:space="preserve"> 7.FISCALIA DE ESTADO</t>
  </si>
  <si>
    <t xml:space="preserve"> 8.CONTADURIA GENERAL</t>
  </si>
  <si>
    <t xml:space="preserve"> 9.TESORERIA GENERAL</t>
  </si>
  <si>
    <t>10.INSTITUTO DEL DEFENSOR DEL PUEBLO</t>
  </si>
  <si>
    <t>SUBTOTAL (1+2+3+4+5+6+7+8+9+10)</t>
  </si>
  <si>
    <t xml:space="preserve"> 9.PODER EJECUTIVO (A+B)</t>
  </si>
  <si>
    <t xml:space="preserve"> A- ADMINISTRACION CENTRAL</t>
  </si>
  <si>
    <t xml:space="preserve"> .Secretaria Gral. De la Gobernación</t>
  </si>
  <si>
    <t xml:space="preserve"> .Mrio.de Gobierno, Justicia y Seguridad</t>
  </si>
  <si>
    <t xml:space="preserve"> .Ministerio de Hacienda y Finanzas</t>
  </si>
  <si>
    <t xml:space="preserve"> .Ministerio de Produccion </t>
  </si>
  <si>
    <t xml:space="preserve"> .Ministerio de Salud Publica</t>
  </si>
  <si>
    <t xml:space="preserve"> .Mrio. De Industria, Empleo y Trabajo</t>
  </si>
  <si>
    <t xml:space="preserve"> .Policía Provincial</t>
  </si>
  <si>
    <t xml:space="preserve">  .Escalafón General</t>
  </si>
  <si>
    <t xml:space="preserve">  .Seguridad</t>
  </si>
  <si>
    <t xml:space="preserve">  .Ministerio de Infraestructura, y  Serv.Pcos.</t>
  </si>
  <si>
    <t xml:space="preserve">  .Ministerio de Desarrollo Social </t>
  </si>
  <si>
    <t xml:space="preserve"> .Mrio. De Desarrollo Urbano y Territorial</t>
  </si>
  <si>
    <t xml:space="preserve"> .Mrio.Educacion, Cultura C.y Tecnología</t>
  </si>
  <si>
    <t xml:space="preserve">  .Escalafón General </t>
  </si>
  <si>
    <t xml:space="preserve">  .Docentes</t>
  </si>
  <si>
    <t xml:space="preserve">      Titulares</t>
  </si>
  <si>
    <t xml:space="preserve">      Interinos</t>
  </si>
  <si>
    <t xml:space="preserve">      Suplentes</t>
  </si>
  <si>
    <t xml:space="preserve">  . Horas Cátedra</t>
  </si>
  <si>
    <t xml:space="preserve">  .Mrio. de Planificación y Ambiente</t>
  </si>
  <si>
    <t xml:space="preserve">  .Secret. de Inversion, As. Inter. Y Promo.</t>
  </si>
  <si>
    <t xml:space="preserve"> .Servicio Penitenciario Provincial</t>
  </si>
  <si>
    <t xml:space="preserve">  .Secretaria de Derechos Humanos</t>
  </si>
  <si>
    <t xml:space="preserve"> B- ORGANISMOS DESCENTRALIZADOS</t>
  </si>
  <si>
    <t xml:space="preserve"> .Inst.Prov.Des.Urbano y Vivienda</t>
  </si>
  <si>
    <t xml:space="preserve"> .Dirección de Vialidad Provincial</t>
  </si>
  <si>
    <t xml:space="preserve"> .Instituto de Colonización</t>
  </si>
  <si>
    <t xml:space="preserve"> .I.I.F.A.</t>
  </si>
  <si>
    <t xml:space="preserve"> .Administración Provincial del Agua</t>
  </si>
  <si>
    <t xml:space="preserve"> .Instituto del Aborigen Chaqueño</t>
  </si>
  <si>
    <t xml:space="preserve"> .Instituto de Cultura del Chaco</t>
  </si>
  <si>
    <t xml:space="preserve"> .Administración Tributaria Provincial</t>
  </si>
  <si>
    <t xml:space="preserve"> .Inst. Prov. De Inclusion de las Pers. c/Discap.</t>
  </si>
  <si>
    <t xml:space="preserve"> .Administ. Puerto de Barranqueras</t>
  </si>
  <si>
    <t xml:space="preserve"> .Inst. de Turismo del Chaco</t>
  </si>
  <si>
    <t xml:space="preserve"> .Escuela de Gobierno de la Provincia</t>
  </si>
  <si>
    <t xml:space="preserve"> .Instituto Prov. De Admin. Publica</t>
  </si>
  <si>
    <t xml:space="preserve"> TOTAL GENERAL (1+2+3+4+5+6+7+8+9)</t>
  </si>
  <si>
    <t>C-ORGANISMOS AUTOFINANCIADOS:</t>
  </si>
  <si>
    <t>LOTERIA CHAQUEÑA</t>
  </si>
  <si>
    <t>.Horas Cátedra Nivel Secundario-Terciario</t>
  </si>
  <si>
    <t>**FUENTE PLANTA ORGANICA NOMINAL (PON)</t>
  </si>
  <si>
    <t xml:space="preserve">       - Letras de Corto Plazo</t>
  </si>
  <si>
    <t xml:space="preserve">          - Letras de Corto Plazo</t>
  </si>
  <si>
    <t>EJECUCION PRESUPUESTARIA AÑO 2014</t>
  </si>
  <si>
    <t>- EN MILES  DE PESOS -</t>
  </si>
  <si>
    <t>APORTES</t>
  </si>
  <si>
    <t>A</t>
  </si>
  <si>
    <t>OTROS PODERES Y ORGANISMOS</t>
  </si>
  <si>
    <t>01</t>
  </si>
  <si>
    <t>PODER LEGISLATIVO</t>
  </si>
  <si>
    <t>31</t>
  </si>
  <si>
    <t>RETIROS VOL.POD. LEG.</t>
  </si>
  <si>
    <t>08</t>
  </si>
  <si>
    <t>TRIBUNAL DE CUENTAS</t>
  </si>
  <si>
    <t>09</t>
  </si>
  <si>
    <t>PODER JUDICIAL</t>
  </si>
  <si>
    <t>44</t>
  </si>
  <si>
    <t>Fondo Especial Retiro Ley 6636</t>
  </si>
  <si>
    <t>40</t>
  </si>
  <si>
    <t>CONSEJO DE LA MAGISTRATURA</t>
  </si>
  <si>
    <t>17</t>
  </si>
  <si>
    <t>TRIBUNAL ELECTORAL</t>
  </si>
  <si>
    <t>27</t>
  </si>
  <si>
    <t>FISCALIA INVEST.ADMIN.</t>
  </si>
  <si>
    <t>19</t>
  </si>
  <si>
    <t>CONTADURIA GENERAL</t>
  </si>
  <si>
    <t>26</t>
  </si>
  <si>
    <t>TESORERIA GENERAL</t>
  </si>
  <si>
    <t>47</t>
  </si>
  <si>
    <t>INSTITUTO DEFENSOR DEL PUEBLO</t>
  </si>
  <si>
    <t>B</t>
  </si>
  <si>
    <t>Administracion Central</t>
  </si>
  <si>
    <t>02</t>
  </si>
  <si>
    <t xml:space="preserve"> . Secretaría General de la Gobernacion</t>
  </si>
  <si>
    <t>03</t>
  </si>
  <si>
    <t xml:space="preserve"> . Minist.Gob.,Just.y Seguridad</t>
  </si>
  <si>
    <t>04</t>
  </si>
  <si>
    <t xml:space="preserve"> . Minist.de Hacienda y Finanzas</t>
  </si>
  <si>
    <t>05</t>
  </si>
  <si>
    <t xml:space="preserve"> . Minist.de la Produccion</t>
  </si>
  <si>
    <t>06</t>
  </si>
  <si>
    <t xml:space="preserve"> . Minist.Salud Publica</t>
  </si>
  <si>
    <t>11</t>
  </si>
  <si>
    <t>.  Minis.Industria, Empleo y Trabajo</t>
  </si>
  <si>
    <t>18</t>
  </si>
  <si>
    <t xml:space="preserve">      . Fiscalia de Estado</t>
  </si>
  <si>
    <t xml:space="preserve"> .Escalafon General</t>
  </si>
  <si>
    <t xml:space="preserve"> .Fiscalia de Estado</t>
  </si>
  <si>
    <t>21</t>
  </si>
  <si>
    <t xml:space="preserve">      . Policia Provincial</t>
  </si>
  <si>
    <t xml:space="preserve"> . Escalafon General</t>
  </si>
  <si>
    <t xml:space="preserve"> . Escalafón Seguridad</t>
  </si>
  <si>
    <t>23</t>
  </si>
  <si>
    <t xml:space="preserve"> . Mrio. Infraest.O.y S.P.</t>
  </si>
  <si>
    <t>28</t>
  </si>
  <si>
    <t xml:space="preserve"> . Mrio.de Desarrollo Social </t>
  </si>
  <si>
    <t>29</t>
  </si>
  <si>
    <t xml:space="preserve">      . Mrio.Educacion</t>
  </si>
  <si>
    <t xml:space="preserve"> . Docentes</t>
  </si>
  <si>
    <t>32</t>
  </si>
  <si>
    <t xml:space="preserve"> . Mrio. De Planificación y Ambiente</t>
  </si>
  <si>
    <t>33</t>
  </si>
  <si>
    <t xml:space="preserve"> . Secretaría de Inversiones,As.Inter.yP.</t>
  </si>
  <si>
    <t>36</t>
  </si>
  <si>
    <t xml:space="preserve"> . Servicio Penitenciario Provincial</t>
  </si>
  <si>
    <t>45</t>
  </si>
  <si>
    <t xml:space="preserve"> . Mrio. De Desarrollo Urbano y Terriotorial</t>
  </si>
  <si>
    <t>46</t>
  </si>
  <si>
    <t>.  Secretaría de Derechos Humanos</t>
  </si>
  <si>
    <t>C</t>
  </si>
  <si>
    <t>ORGAN.DESCENTRALIZADOS</t>
  </si>
  <si>
    <t>10</t>
  </si>
  <si>
    <t xml:space="preserve"> . Inst.Prov.Des.Urb.y Viv.</t>
  </si>
  <si>
    <t>13</t>
  </si>
  <si>
    <t xml:space="preserve"> . Direc.Vialidad Provinc.</t>
  </si>
  <si>
    <t>14</t>
  </si>
  <si>
    <t xml:space="preserve"> . Instit.de Colonizacion</t>
  </si>
  <si>
    <t>15</t>
  </si>
  <si>
    <t xml:space="preserve"> . Inst. Inv. Forestales y Agropecuarias</t>
  </si>
  <si>
    <t>24</t>
  </si>
  <si>
    <t xml:space="preserve"> . Administ.Provinc.del Agua</t>
  </si>
  <si>
    <t>25</t>
  </si>
  <si>
    <t xml:space="preserve"> . Instit.del Aborigen Chaq.</t>
  </si>
  <si>
    <t>34</t>
  </si>
  <si>
    <t xml:space="preserve"> . Instituto de Cultura del Chaco</t>
  </si>
  <si>
    <t>35</t>
  </si>
  <si>
    <t xml:space="preserve"> . A.T.P.</t>
  </si>
  <si>
    <t>37</t>
  </si>
  <si>
    <t xml:space="preserve"> . Instituto Prov. De Inclusion de las Pers. </t>
  </si>
  <si>
    <t>39</t>
  </si>
  <si>
    <t xml:space="preserve"> . Admin. Pto. Barranqueras</t>
  </si>
  <si>
    <t>42</t>
  </si>
  <si>
    <t>. Instituto de Turismo del Chaco</t>
  </si>
  <si>
    <t>51</t>
  </si>
  <si>
    <t xml:space="preserve"> .Instituto Prov. Adm. Publica del Chaco</t>
  </si>
  <si>
    <t>T O T A L  (A+B+C)</t>
  </si>
  <si>
    <t xml:space="preserve">  .Docentes según Hs. Cátedra (***)</t>
  </si>
  <si>
    <t xml:space="preserve"> .Instituto del Deporte Chaqueño</t>
  </si>
  <si>
    <t>(***) LOS CARGOS DOCENTES POR HORAS CATEDRA SE CALCULAN AGRUPANDO LA CANTIDAD DE HORAS POR NUMERO</t>
  </si>
  <si>
    <t xml:space="preserve">          DE DOCUMENTO DISTINGUIENDO ENTRE TITULARES, INTERINOS Y SUPLENTES.</t>
  </si>
  <si>
    <t>48</t>
  </si>
  <si>
    <t>. Instituto del Deporte</t>
  </si>
  <si>
    <t>REMUNERA-</t>
  </si>
  <si>
    <t>TOTAL REMU-</t>
  </si>
  <si>
    <t xml:space="preserve"> %</t>
  </si>
  <si>
    <t>ASIGNAC.</t>
  </si>
  <si>
    <t>COSTO</t>
  </si>
  <si>
    <t>DIFERENCIA</t>
  </si>
  <si>
    <t>JURISDICCIONES</t>
  </si>
  <si>
    <t>CIONES</t>
  </si>
  <si>
    <t xml:space="preserve"> ADICIONALES</t>
  </si>
  <si>
    <t>NER.Y ADICIO-</t>
  </si>
  <si>
    <t>ESTATA-</t>
  </si>
  <si>
    <t>Ap.</t>
  </si>
  <si>
    <t>FAMILIA-</t>
  </si>
  <si>
    <t>PRESUP.</t>
  </si>
  <si>
    <t>NALES</t>
  </si>
  <si>
    <t>LES</t>
  </si>
  <si>
    <t>Est.</t>
  </si>
  <si>
    <t>RES</t>
  </si>
  <si>
    <t xml:space="preserve">MENSUAL </t>
  </si>
  <si>
    <t>AÑO 2014</t>
  </si>
  <si>
    <t xml:space="preserve">              (1)</t>
  </si>
  <si>
    <t xml:space="preserve">     (2)</t>
  </si>
  <si>
    <t xml:space="preserve">     (3)</t>
  </si>
  <si>
    <t>(4):(2)+(3)</t>
  </si>
  <si>
    <t xml:space="preserve">    (5)</t>
  </si>
  <si>
    <t xml:space="preserve">       (6)</t>
  </si>
  <si>
    <t>(9):SUM(4)a(8)</t>
  </si>
  <si>
    <t xml:space="preserve">   FONDO COMUN DE ESTIMULO DE LA JUR. 06 de $ 258.589,30</t>
  </si>
  <si>
    <t xml:space="preserve">       - Letras de Largo  Plazo</t>
  </si>
  <si>
    <t>PLANTA OCUPADA AL 31 DE DICIEMBRE DE 2014</t>
  </si>
  <si>
    <t>EJECUCION MES DE DICIEMBRE DEL 2014 s/ECOM CHACO SA</t>
  </si>
  <si>
    <t>C MES 11</t>
  </si>
  <si>
    <t>(*) EL COSTO PRESUPUESTARIO NO INCLUYE EL CONCEPTO DE FONDO ESTIMULO DE LA JURISDICCION 10 de $ 2.662.365,41</t>
  </si>
  <si>
    <t xml:space="preserve">          - Letras de Largo Plazo</t>
  </si>
  <si>
    <t xml:space="preserve">       - Obtención de  Préstamos del S.Externo a LP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</si>
</sst>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General_)"/>
    <numFmt numFmtId="197" formatCode="#,##0.0"/>
    <numFmt numFmtId="198" formatCode="#,##0.000"/>
    <numFmt numFmtId="199" formatCode="_-* #,##0.000\ _P_t_s_-;\-* #,##0.000\ _P_t_s_-;_-* &quot;-&quot;??\ _P_t_s_-;_-@_-"/>
    <numFmt numFmtId="200" formatCode="_-* #,##0.0\ _P_t_s_-;\-* #,##0.0\ _P_t_s_-;_-* &quot;-&quot;??\ _P_t_s_-;_-@_-"/>
    <numFmt numFmtId="201" formatCode="_-* #,##0\ _P_t_s_-;\-* #,##0\ _P_t_s_-;_-* &quot;-&quot;??\ _P_t_s_-;_-@_-"/>
    <numFmt numFmtId="202" formatCode="0.000"/>
    <numFmt numFmtId="203" formatCode="_(* #,##0.00_);_(* \(#,##0.00\);_(* &quot;-&quot;??_);_(@_)"/>
    <numFmt numFmtId="204" formatCode="0.0"/>
  </numFmts>
  <fonts count="69">
    <font>
      <sz val="10"/>
      <name val="Arial"/>
      <family val="0"/>
    </font>
    <font>
      <b/>
      <sz val="12"/>
      <name val="Comic Sans MS"/>
      <family val="4"/>
    </font>
    <font>
      <sz val="12"/>
      <name val="Arial"/>
      <family val="2"/>
    </font>
    <font>
      <sz val="12"/>
      <name val="Courier"/>
      <family val="3"/>
    </font>
    <font>
      <b/>
      <i/>
      <u val="single"/>
      <sz val="12"/>
      <name val="Arial"/>
      <family val="2"/>
    </font>
    <font>
      <b/>
      <sz val="12"/>
      <name val="Courier"/>
      <family val="3"/>
    </font>
    <font>
      <b/>
      <i/>
      <sz val="12"/>
      <name val="Arial"/>
      <family val="2"/>
    </font>
    <font>
      <i/>
      <sz val="12"/>
      <name val="Algerian"/>
      <family val="5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"/>
      <family val="3"/>
    </font>
    <font>
      <b/>
      <sz val="12"/>
      <color indexed="8"/>
      <name val="Courier"/>
      <family val="3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Courier"/>
      <family val="3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31" borderId="0" applyNumberFormat="0" applyBorder="0" applyAlignment="0" applyProtection="0"/>
    <xf numFmtId="39" fontId="2" fillId="0" borderId="0">
      <alignment/>
      <protection/>
    </xf>
    <xf numFmtId="196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4" fontId="8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0" fillId="0" borderId="0" xfId="0" applyNumberFormat="1" applyFont="1" applyAlignment="1">
      <alignment/>
    </xf>
    <xf numFmtId="171" fontId="0" fillId="0" borderId="0" xfId="0" applyNumberFormat="1" applyFill="1" applyAlignment="1">
      <alignment/>
    </xf>
    <xf numFmtId="3" fontId="11" fillId="0" borderId="18" xfId="0" applyNumberFormat="1" applyFont="1" applyFill="1" applyBorder="1" applyAlignment="1" applyProtection="1">
      <alignment horizontal="centerContinuous"/>
      <protection/>
    </xf>
    <xf numFmtId="3" fontId="8" fillId="0" borderId="19" xfId="0" applyNumberFormat="1" applyFont="1" applyBorder="1" applyAlignment="1" applyProtection="1">
      <alignment horizontal="centerContinuous" vertical="center"/>
      <protection/>
    </xf>
    <xf numFmtId="0" fontId="12" fillId="0" borderId="17" xfId="0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0" fontId="14" fillId="0" borderId="22" xfId="0" applyFont="1" applyFill="1" applyBorder="1" applyAlignment="1" applyProtection="1">
      <alignment/>
      <protection/>
    </xf>
    <xf numFmtId="3" fontId="14" fillId="0" borderId="22" xfId="0" applyNumberFormat="1" applyFont="1" applyFill="1" applyBorder="1" applyAlignment="1" applyProtection="1">
      <alignment/>
      <protection/>
    </xf>
    <xf numFmtId="3" fontId="11" fillId="0" borderId="22" xfId="0" applyNumberFormat="1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/>
      <protection/>
    </xf>
    <xf numFmtId="3" fontId="15" fillId="0" borderId="22" xfId="0" applyNumberFormat="1" applyFont="1" applyFill="1" applyBorder="1" applyAlignment="1" applyProtection="1">
      <alignment/>
      <protection/>
    </xf>
    <xf numFmtId="196" fontId="14" fillId="0" borderId="17" xfId="55" applyNumberFormat="1" applyFont="1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vertical="center"/>
      <protection/>
    </xf>
    <xf numFmtId="3" fontId="15" fillId="0" borderId="22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3" fontId="14" fillId="0" borderId="2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15" fillId="0" borderId="23" xfId="0" applyFont="1" applyFill="1" applyBorder="1" applyAlignment="1" applyProtection="1">
      <alignment vertical="center"/>
      <protection/>
    </xf>
    <xf numFmtId="3" fontId="9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/>
      <protection/>
    </xf>
    <xf numFmtId="3" fontId="15" fillId="0" borderId="25" xfId="0" applyNumberFormat="1" applyFont="1" applyFill="1" applyBorder="1" applyAlignment="1" applyProtection="1">
      <alignment/>
      <protection/>
    </xf>
    <xf numFmtId="3" fontId="15" fillId="0" borderId="26" xfId="0" applyNumberFormat="1" applyFont="1" applyFill="1" applyBorder="1" applyAlignment="1" applyProtection="1">
      <alignment/>
      <protection/>
    </xf>
    <xf numFmtId="3" fontId="15" fillId="0" borderId="27" xfId="0" applyNumberFormat="1" applyFont="1" applyFill="1" applyBorder="1" applyAlignment="1" applyProtection="1">
      <alignment/>
      <protection/>
    </xf>
    <xf numFmtId="4" fontId="2" fillId="0" borderId="28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8" fillId="0" borderId="29" xfId="0" applyNumberFormat="1" applyFont="1" applyFill="1" applyBorder="1" applyAlignment="1">
      <alignment/>
    </xf>
    <xf numFmtId="39" fontId="19" fillId="0" borderId="0" xfId="0" applyNumberFormat="1" applyFont="1" applyAlignment="1">
      <alignment/>
    </xf>
    <xf numFmtId="39" fontId="22" fillId="0" borderId="0" xfId="0" applyNumberFormat="1" applyFont="1" applyAlignment="1">
      <alignment/>
    </xf>
    <xf numFmtId="39" fontId="18" fillId="0" borderId="0" xfId="0" applyNumberFormat="1" applyFont="1" applyAlignment="1">
      <alignment/>
    </xf>
    <xf numFmtId="39" fontId="23" fillId="0" borderId="0" xfId="0" applyNumberFormat="1" applyFont="1" applyAlignment="1">
      <alignment/>
    </xf>
    <xf numFmtId="39" fontId="18" fillId="0" borderId="0" xfId="0" applyNumberFormat="1" applyFont="1" applyBorder="1" applyAlignment="1">
      <alignment/>
    </xf>
    <xf numFmtId="49" fontId="19" fillId="0" borderId="0" xfId="0" applyNumberFormat="1" applyFont="1" applyAlignment="1">
      <alignment horizontal="right"/>
    </xf>
    <xf numFmtId="39" fontId="19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39" fontId="19" fillId="0" borderId="0" xfId="54" applyNumberFormat="1" applyFont="1" applyAlignment="1">
      <alignment vertical="center"/>
      <protection/>
    </xf>
    <xf numFmtId="39" fontId="20" fillId="0" borderId="30" xfId="54" applyNumberFormat="1" applyFont="1" applyFill="1" applyBorder="1" applyProtection="1">
      <alignment/>
      <protection locked="0"/>
    </xf>
    <xf numFmtId="39" fontId="20" fillId="0" borderId="31" xfId="54" applyNumberFormat="1" applyFont="1" applyFill="1" applyBorder="1" applyProtection="1">
      <alignment/>
      <protection locked="0"/>
    </xf>
    <xf numFmtId="39" fontId="20" fillId="0" borderId="18" xfId="54" applyNumberFormat="1" applyFont="1" applyFill="1" applyBorder="1" applyAlignment="1" applyProtection="1">
      <alignment horizontal="center"/>
      <protection locked="0"/>
    </xf>
    <xf numFmtId="196" fontId="20" fillId="0" borderId="18" xfId="54" applyNumberFormat="1" applyFont="1" applyFill="1" applyBorder="1" applyAlignment="1" applyProtection="1">
      <alignment horizontal="center"/>
      <protection locked="0"/>
    </xf>
    <xf numFmtId="196" fontId="20" fillId="0" borderId="31" xfId="54" applyNumberFormat="1" applyFont="1" applyFill="1" applyBorder="1" applyAlignment="1" applyProtection="1">
      <alignment horizontal="center"/>
      <protection locked="0"/>
    </xf>
    <xf numFmtId="196" fontId="20" fillId="0" borderId="32" xfId="54" applyNumberFormat="1" applyFont="1" applyFill="1" applyBorder="1" applyAlignment="1" applyProtection="1">
      <alignment horizontal="center"/>
      <protection locked="0"/>
    </xf>
    <xf numFmtId="39" fontId="20" fillId="0" borderId="32" xfId="54" applyNumberFormat="1" applyFont="1" applyFill="1" applyBorder="1" applyAlignment="1" applyProtection="1">
      <alignment horizontal="center"/>
      <protection locked="0"/>
    </xf>
    <xf numFmtId="39" fontId="18" fillId="0" borderId="23" xfId="54" applyNumberFormat="1" applyFont="1" applyBorder="1" applyAlignment="1">
      <alignment horizontal="center"/>
      <protection/>
    </xf>
    <xf numFmtId="39" fontId="20" fillId="0" borderId="20" xfId="54" applyNumberFormat="1" applyFont="1" applyFill="1" applyBorder="1" applyAlignment="1" applyProtection="1">
      <alignment horizontal="center"/>
      <protection locked="0"/>
    </xf>
    <xf numFmtId="39" fontId="20" fillId="0" borderId="33" xfId="54" applyNumberFormat="1" applyFont="1" applyFill="1" applyBorder="1" applyAlignment="1" applyProtection="1">
      <alignment horizontal="center"/>
      <protection locked="0"/>
    </xf>
    <xf numFmtId="196" fontId="20" fillId="0" borderId="33" xfId="54" applyNumberFormat="1" applyFont="1" applyFill="1" applyBorder="1" applyAlignment="1" applyProtection="1">
      <alignment horizontal="center"/>
      <protection locked="0"/>
    </xf>
    <xf numFmtId="39" fontId="20" fillId="0" borderId="33" xfId="54" applyNumberFormat="1" applyFont="1" applyFill="1" applyBorder="1" applyAlignment="1" applyProtection="1">
      <alignment horizontal="center"/>
      <protection/>
    </xf>
    <xf numFmtId="39" fontId="18" fillId="0" borderId="13" xfId="54" applyNumberFormat="1" applyFont="1" applyBorder="1" applyAlignment="1">
      <alignment horizontal="center"/>
      <protection/>
    </xf>
    <xf numFmtId="39" fontId="20" fillId="0" borderId="29" xfId="54" applyNumberFormat="1" applyFont="1" applyFill="1" applyBorder="1" applyProtection="1">
      <alignment/>
      <protection locked="0"/>
    </xf>
    <xf numFmtId="39" fontId="20" fillId="0" borderId="34" xfId="54" applyNumberFormat="1" applyFont="1" applyFill="1" applyBorder="1">
      <alignment/>
      <protection/>
    </xf>
    <xf numFmtId="39" fontId="20" fillId="0" borderId="20" xfId="54" applyNumberFormat="1" applyFont="1" applyFill="1" applyBorder="1" applyAlignment="1">
      <alignment horizontal="center"/>
      <protection/>
    </xf>
    <xf numFmtId="39" fontId="20" fillId="0" borderId="33" xfId="54" applyNumberFormat="1" applyFont="1" applyFill="1" applyBorder="1" applyAlignment="1">
      <alignment horizontal="center"/>
      <protection/>
    </xf>
    <xf numFmtId="39" fontId="20" fillId="0" borderId="35" xfId="54" applyNumberFormat="1" applyFont="1" applyFill="1" applyBorder="1" applyProtection="1">
      <alignment/>
      <protection locked="0"/>
    </xf>
    <xf numFmtId="39" fontId="20" fillId="0" borderId="36" xfId="54" applyNumberFormat="1" applyFont="1" applyFill="1" applyBorder="1" applyAlignment="1" applyProtection="1">
      <alignment/>
      <protection locked="0"/>
    </xf>
    <xf numFmtId="39" fontId="20" fillId="0" borderId="37" xfId="54" applyNumberFormat="1" applyFont="1" applyFill="1" applyBorder="1" applyAlignment="1" applyProtection="1">
      <alignment horizontal="center"/>
      <protection locked="0"/>
    </xf>
    <xf numFmtId="39" fontId="20" fillId="0" borderId="36" xfId="54" applyNumberFormat="1" applyFont="1" applyFill="1" applyBorder="1" applyAlignment="1" applyProtection="1">
      <alignment horizontal="center"/>
      <protection locked="0"/>
    </xf>
    <xf numFmtId="39" fontId="20" fillId="0" borderId="36" xfId="54" applyNumberFormat="1" applyFont="1" applyFill="1" applyBorder="1" applyProtection="1">
      <alignment/>
      <protection locked="0"/>
    </xf>
    <xf numFmtId="39" fontId="18" fillId="0" borderId="10" xfId="54" applyNumberFormat="1" applyFont="1" applyBorder="1">
      <alignment/>
      <protection/>
    </xf>
    <xf numFmtId="39" fontId="21" fillId="0" borderId="17" xfId="54" applyNumberFormat="1" applyFont="1" applyFill="1" applyBorder="1" applyProtection="1">
      <alignment/>
      <protection locked="0"/>
    </xf>
    <xf numFmtId="39" fontId="21" fillId="0" borderId="33" xfId="54" applyNumberFormat="1" applyFont="1" applyFill="1" applyBorder="1" applyAlignment="1" applyProtection="1">
      <alignment/>
      <protection locked="0"/>
    </xf>
    <xf numFmtId="4" fontId="21" fillId="0" borderId="33" xfId="54" applyNumberFormat="1" applyFont="1" applyFill="1" applyBorder="1" applyAlignment="1" applyProtection="1">
      <alignment/>
      <protection locked="0"/>
    </xf>
    <xf numFmtId="4" fontId="21" fillId="0" borderId="13" xfId="54" applyNumberFormat="1" applyFont="1" applyFill="1" applyBorder="1" applyAlignment="1" applyProtection="1">
      <alignment/>
      <protection locked="0"/>
    </xf>
    <xf numFmtId="49" fontId="18" fillId="0" borderId="17" xfId="54" applyNumberFormat="1" applyFont="1" applyFill="1" applyBorder="1" applyAlignment="1">
      <alignment horizontal="right"/>
      <protection/>
    </xf>
    <xf numFmtId="39" fontId="20" fillId="0" borderId="33" xfId="54" applyNumberFormat="1" applyFont="1" applyFill="1" applyBorder="1" applyAlignment="1" applyProtection="1">
      <alignment/>
      <protection locked="0"/>
    </xf>
    <xf numFmtId="4" fontId="20" fillId="0" borderId="33" xfId="54" applyNumberFormat="1" applyFont="1" applyFill="1" applyBorder="1" applyProtection="1">
      <alignment/>
      <protection locked="0"/>
    </xf>
    <xf numFmtId="39" fontId="19" fillId="0" borderId="13" xfId="54" applyNumberFormat="1" applyFont="1" applyBorder="1">
      <alignment/>
      <protection/>
    </xf>
    <xf numFmtId="49" fontId="22" fillId="0" borderId="17" xfId="54" applyNumberFormat="1" applyFont="1" applyFill="1" applyBorder="1" applyAlignment="1">
      <alignment horizontal="right"/>
      <protection/>
    </xf>
    <xf numFmtId="4" fontId="21" fillId="0" borderId="33" xfId="54" applyNumberFormat="1" applyFont="1" applyFill="1" applyBorder="1" applyProtection="1">
      <alignment/>
      <protection locked="0"/>
    </xf>
    <xf numFmtId="196" fontId="20" fillId="0" borderId="33" xfId="54" applyNumberFormat="1" applyFont="1" applyFill="1" applyBorder="1" applyAlignment="1" applyProtection="1">
      <alignment/>
      <protection locked="0"/>
    </xf>
    <xf numFmtId="4" fontId="21" fillId="0" borderId="13" xfId="54" applyNumberFormat="1" applyFont="1" applyFill="1" applyBorder="1" applyProtection="1">
      <alignment/>
      <protection locked="0"/>
    </xf>
    <xf numFmtId="49" fontId="19" fillId="0" borderId="17" xfId="54" applyNumberFormat="1" applyFont="1" applyFill="1" applyBorder="1" applyAlignment="1">
      <alignment horizontal="right"/>
      <protection/>
    </xf>
    <xf numFmtId="4" fontId="19" fillId="0" borderId="33" xfId="54" applyNumberFormat="1" applyFont="1" applyBorder="1">
      <alignment/>
      <protection/>
    </xf>
    <xf numFmtId="196" fontId="21" fillId="0" borderId="33" xfId="54" applyNumberFormat="1" applyFont="1" applyFill="1" applyBorder="1" applyAlignment="1" applyProtection="1">
      <alignment/>
      <protection locked="0"/>
    </xf>
    <xf numFmtId="39" fontId="20" fillId="0" borderId="20" xfId="54" applyNumberFormat="1" applyFont="1" applyFill="1" applyBorder="1" applyAlignment="1" applyProtection="1">
      <alignment/>
      <protection locked="0"/>
    </xf>
    <xf numFmtId="196" fontId="20" fillId="0" borderId="20" xfId="54" applyNumberFormat="1" applyFont="1" applyFill="1" applyBorder="1" applyAlignment="1" applyProtection="1">
      <alignment/>
      <protection locked="0"/>
    </xf>
    <xf numFmtId="49" fontId="18" fillId="0" borderId="35" xfId="54" applyNumberFormat="1" applyFont="1" applyFill="1" applyBorder="1" applyAlignment="1">
      <alignment horizontal="right"/>
      <protection/>
    </xf>
    <xf numFmtId="39" fontId="21" fillId="0" borderId="38" xfId="54" applyNumberFormat="1" applyFont="1" applyFill="1" applyBorder="1" applyAlignment="1" applyProtection="1">
      <alignment/>
      <protection locked="0"/>
    </xf>
    <xf numFmtId="4" fontId="21" fillId="0" borderId="39" xfId="54" applyNumberFormat="1" applyFont="1" applyFill="1" applyBorder="1" applyAlignment="1" applyProtection="1">
      <alignment vertical="center"/>
      <protection locked="0"/>
    </xf>
    <xf numFmtId="4" fontId="21" fillId="0" borderId="10" xfId="54" applyNumberFormat="1" applyFont="1" applyFill="1" applyBorder="1" applyAlignment="1" applyProtection="1">
      <alignment vertical="center"/>
      <protection locked="0"/>
    </xf>
    <xf numFmtId="39" fontId="2" fillId="0" borderId="0" xfId="54">
      <alignment/>
      <protection/>
    </xf>
    <xf numFmtId="39" fontId="20" fillId="0" borderId="0" xfId="54" applyNumberFormat="1" applyFont="1" applyFill="1" applyBorder="1">
      <alignment/>
      <protection/>
    </xf>
    <xf numFmtId="39" fontId="19" fillId="0" borderId="0" xfId="54" applyNumberFormat="1" applyFont="1">
      <alignment/>
      <protection/>
    </xf>
    <xf numFmtId="197" fontId="19" fillId="0" borderId="0" xfId="54" applyNumberFormat="1" applyFont="1" applyAlignment="1" applyProtection="1">
      <alignment horizontal="centerContinuous"/>
      <protection locked="0"/>
    </xf>
    <xf numFmtId="4" fontId="19" fillId="0" borderId="0" xfId="54" applyNumberFormat="1" applyFont="1" applyAlignment="1" applyProtection="1">
      <alignment horizontal="centerContinuous"/>
      <protection locked="0"/>
    </xf>
    <xf numFmtId="39" fontId="19" fillId="0" borderId="0" xfId="54" applyNumberFormat="1" applyFont="1" applyBorder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11" xfId="0" applyFont="1" applyFill="1" applyBorder="1" applyAlignment="1">
      <alignment horizontal="centerContinuous"/>
    </xf>
    <xf numFmtId="0" fontId="2" fillId="0" borderId="40" xfId="0" applyFont="1" applyFill="1" applyBorder="1" applyAlignment="1">
      <alignment/>
    </xf>
    <xf numFmtId="0" fontId="2" fillId="0" borderId="2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2" fillId="0" borderId="14" xfId="56" applyFont="1" applyFill="1" applyBorder="1">
      <alignment/>
      <protection/>
    </xf>
    <xf numFmtId="196" fontId="2" fillId="0" borderId="14" xfId="0" applyNumberFormat="1" applyFont="1" applyFill="1" applyBorder="1" applyAlignment="1" applyProtection="1">
      <alignment horizontal="left" vertical="top"/>
      <protection/>
    </xf>
    <xf numFmtId="0" fontId="2" fillId="0" borderId="42" xfId="0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4" fontId="8" fillId="0" borderId="4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2" fontId="0" fillId="0" borderId="0" xfId="0" applyNumberFormat="1" applyFill="1" applyAlignment="1">
      <alignment/>
    </xf>
    <xf numFmtId="195" fontId="0" fillId="0" borderId="0" xfId="49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7" fillId="33" borderId="11" xfId="0" applyFont="1" applyFill="1" applyBorder="1" applyAlignment="1">
      <alignment/>
    </xf>
    <xf numFmtId="4" fontId="28" fillId="33" borderId="11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17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29" fillId="0" borderId="38" xfId="0" applyFont="1" applyBorder="1" applyAlignment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center" vertical="center"/>
      <protection/>
    </xf>
    <xf numFmtId="3" fontId="11" fillId="0" borderId="45" xfId="0" applyNumberFormat="1" applyFont="1" applyFill="1" applyBorder="1" applyAlignment="1" applyProtection="1">
      <alignment horizontal="center" vertical="center"/>
      <protection/>
    </xf>
    <xf numFmtId="3" fontId="11" fillId="0" borderId="46" xfId="0" applyNumberFormat="1" applyFont="1" applyFill="1" applyBorder="1" applyAlignment="1" applyProtection="1">
      <alignment horizontal="center" vertical="center"/>
      <protection/>
    </xf>
    <xf numFmtId="196" fontId="26" fillId="0" borderId="38" xfId="54" applyNumberFormat="1" applyFont="1" applyFill="1" applyBorder="1" applyAlignment="1" applyProtection="1">
      <alignment horizontal="center" vertical="center"/>
      <protection locked="0"/>
    </xf>
    <xf numFmtId="39" fontId="20" fillId="0" borderId="17" xfId="54" applyNumberFormat="1" applyFont="1" applyFill="1" applyBorder="1" applyAlignment="1" applyProtection="1">
      <alignment horizontal="center"/>
      <protection locked="0"/>
    </xf>
    <xf numFmtId="39" fontId="20" fillId="0" borderId="0" xfId="54" applyNumberFormat="1" applyFont="1" applyFill="1" applyBorder="1" applyAlignment="1" applyProtection="1">
      <alignment horizontal="center"/>
      <protection locked="0"/>
    </xf>
    <xf numFmtId="196" fontId="19" fillId="0" borderId="0" xfId="54" applyNumberFormat="1" applyFont="1" applyAlignment="1" applyProtection="1">
      <alignment horizontal="left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199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77"/>
  <sheetViews>
    <sheetView tabSelected="1" zoomScale="70" zoomScaleNormal="70" zoomScalePageLayoutView="0" workbookViewId="0" topLeftCell="A28">
      <selection activeCell="D158" sqref="D158"/>
    </sheetView>
  </sheetViews>
  <sheetFormatPr defaultColWidth="9.140625" defaultRowHeight="12.75"/>
  <cols>
    <col min="1" max="1" width="44.7109375" style="18" customWidth="1"/>
    <col min="2" max="3" width="24.57421875" style="18" customWidth="1"/>
    <col min="4" max="4" width="30.57421875" style="18" customWidth="1"/>
    <col min="5" max="5" width="39.421875" style="18" customWidth="1"/>
    <col min="6" max="6" width="14.421875" style="18" customWidth="1"/>
    <col min="7" max="8" width="9.140625" style="18" customWidth="1"/>
    <col min="9" max="10" width="10.140625" style="18" bestFit="1" customWidth="1"/>
    <col min="11" max="16384" width="9.140625" style="18" customWidth="1"/>
  </cols>
  <sheetData>
    <row r="1" spans="1:5" ht="19.5">
      <c r="A1" s="1"/>
      <c r="B1" s="2"/>
      <c r="C1" s="3"/>
      <c r="D1" s="4"/>
      <c r="E1" s="4"/>
    </row>
    <row r="2" spans="1:5" ht="15">
      <c r="A2" s="125" t="s">
        <v>218</v>
      </c>
      <c r="B2" s="5"/>
      <c r="C2" s="4"/>
      <c r="D2" s="4"/>
      <c r="E2" s="4"/>
    </row>
    <row r="3" spans="1:5" ht="15.75">
      <c r="A3" s="126" t="s">
        <v>0</v>
      </c>
      <c r="B3" s="5"/>
      <c r="C3" s="4"/>
      <c r="D3" s="4"/>
      <c r="E3" s="7"/>
    </row>
    <row r="4" spans="1:5" ht="15">
      <c r="A4" s="127" t="s">
        <v>219</v>
      </c>
      <c r="B4" s="5"/>
      <c r="C4" s="6"/>
      <c r="D4" s="6"/>
      <c r="E4" s="6"/>
    </row>
    <row r="5" spans="1:5" ht="16.5" thickBot="1">
      <c r="A5" s="127"/>
      <c r="B5" s="8"/>
      <c r="C5" s="6"/>
      <c r="D5" s="6"/>
      <c r="E5" s="6"/>
    </row>
    <row r="6" spans="1:5" ht="15.75" thickBot="1">
      <c r="A6" s="128" t="s">
        <v>1</v>
      </c>
      <c r="B6" s="162">
        <v>42003</v>
      </c>
      <c r="C6" s="163"/>
      <c r="D6" s="163"/>
      <c r="E6" s="164"/>
    </row>
    <row r="7" spans="1:5" ht="15">
      <c r="A7" s="129"/>
      <c r="B7" s="130"/>
      <c r="C7" s="130"/>
      <c r="D7" s="130"/>
      <c r="E7" s="130"/>
    </row>
    <row r="8" spans="1:5" ht="30">
      <c r="A8" s="131" t="s">
        <v>2</v>
      </c>
      <c r="B8" s="132" t="s">
        <v>3</v>
      </c>
      <c r="C8" s="132" t="s">
        <v>4</v>
      </c>
      <c r="D8" s="132" t="s">
        <v>5</v>
      </c>
      <c r="E8" s="133" t="s">
        <v>6</v>
      </c>
    </row>
    <row r="9" spans="1:5" ht="18" thickBot="1">
      <c r="A9" s="134"/>
      <c r="B9" s="135" t="s">
        <v>7</v>
      </c>
      <c r="C9" s="135" t="s">
        <v>8</v>
      </c>
      <c r="D9" s="135" t="s">
        <v>9</v>
      </c>
      <c r="E9" s="135" t="s">
        <v>10</v>
      </c>
    </row>
    <row r="10" spans="1:5" ht="18" thickBot="1">
      <c r="A10" s="136"/>
      <c r="B10" s="9"/>
      <c r="C10" s="9"/>
      <c r="D10" s="9"/>
      <c r="E10" s="9"/>
    </row>
    <row r="11" spans="1:5" ht="16.5" thickBot="1">
      <c r="A11" s="137" t="s">
        <v>11</v>
      </c>
      <c r="B11" s="10">
        <f>+B12+B50+B52+B57+B59+B61</f>
        <v>19341848.66148</v>
      </c>
      <c r="C11" s="10">
        <f>+C12+C50+C52+C57+C59+C61</f>
        <v>541976.81935</v>
      </c>
      <c r="D11" s="10">
        <f>+D12+D50+D52+D57+D59+D61</f>
        <v>3776526.552508</v>
      </c>
      <c r="E11" s="10">
        <f>+E12+E50+E52+E57+E59+E61</f>
        <v>23660352.033337995</v>
      </c>
    </row>
    <row r="12" spans="1:5" ht="15.75">
      <c r="A12" s="138" t="s">
        <v>12</v>
      </c>
      <c r="B12" s="11">
        <f>+B13+B19</f>
        <v>17486353.374009997</v>
      </c>
      <c r="C12" s="11">
        <f>+C13+C19</f>
        <v>494321.88907999994</v>
      </c>
      <c r="D12" s="11">
        <f>+D13+D19</f>
        <v>117544.7</v>
      </c>
      <c r="E12" s="11">
        <f>+E13+E19</f>
        <v>18098219.963089995</v>
      </c>
    </row>
    <row r="13" spans="1:5" ht="15.75">
      <c r="A13" s="138" t="s">
        <v>13</v>
      </c>
      <c r="B13" s="12">
        <f>+SUM(B14:B18)</f>
        <v>2791054.2950899997</v>
      </c>
      <c r="C13" s="12">
        <f>+SUM(C14:C18)</f>
        <v>81304.58908</v>
      </c>
      <c r="D13" s="12">
        <f>+SUM(D14:D18)</f>
        <v>0</v>
      </c>
      <c r="E13" s="13">
        <f>+SUM(E14:E18)</f>
        <v>2872358.8841699995</v>
      </c>
    </row>
    <row r="14" spans="1:5" ht="15">
      <c r="A14" s="14" t="s">
        <v>14</v>
      </c>
      <c r="B14" s="13">
        <f>2219901489.27/1000</f>
        <v>2219901.48927</v>
      </c>
      <c r="C14" s="13">
        <v>0</v>
      </c>
      <c r="D14" s="13">
        <v>0</v>
      </c>
      <c r="E14" s="13">
        <f>SUM(B14:D14)</f>
        <v>2219901.48927</v>
      </c>
    </row>
    <row r="15" spans="1:5" ht="15">
      <c r="A15" s="14" t="s">
        <v>15</v>
      </c>
      <c r="B15" s="13">
        <v>0</v>
      </c>
      <c r="C15" s="13">
        <f>15971245.37/1000</f>
        <v>15971.245369999999</v>
      </c>
      <c r="D15" s="13">
        <v>0</v>
      </c>
      <c r="E15" s="13">
        <f>SUM(B15:D15)</f>
        <v>15971.245369999999</v>
      </c>
    </row>
    <row r="16" spans="1:5" ht="15">
      <c r="A16" s="14" t="s">
        <v>16</v>
      </c>
      <c r="B16" s="13">
        <f>227428523.68/1000</f>
        <v>227428.52368</v>
      </c>
      <c r="C16" s="13">
        <f>40134445.36/1000</f>
        <v>40134.44536</v>
      </c>
      <c r="D16" s="13">
        <v>0</v>
      </c>
      <c r="E16" s="13">
        <f>SUM(B16:D16)</f>
        <v>267562.96904</v>
      </c>
    </row>
    <row r="17" spans="1:5" ht="15">
      <c r="A17" s="14" t="s">
        <v>17</v>
      </c>
      <c r="B17" s="13">
        <v>0</v>
      </c>
      <c r="C17" s="13">
        <v>0</v>
      </c>
      <c r="D17" s="13">
        <v>0</v>
      </c>
      <c r="E17" s="13">
        <f>SUM(B17:D17)</f>
        <v>0</v>
      </c>
    </row>
    <row r="18" spans="1:5" ht="15">
      <c r="A18" s="14" t="s">
        <v>18</v>
      </c>
      <c r="B18" s="13">
        <f>343724282.14/1000</f>
        <v>343724.28213999997</v>
      </c>
      <c r="C18" s="13">
        <f>25198898.35/1000</f>
        <v>25198.898350000003</v>
      </c>
      <c r="D18" s="13">
        <v>0</v>
      </c>
      <c r="E18" s="13">
        <f>SUM(B18:D18)</f>
        <v>368923.18048999994</v>
      </c>
    </row>
    <row r="19" spans="1:5" ht="15.75">
      <c r="A19" s="138" t="s">
        <v>19</v>
      </c>
      <c r="B19" s="12">
        <f>+B22+B23+B45</f>
        <v>14695299.078919996</v>
      </c>
      <c r="C19" s="12">
        <f>+C22+C23+C45</f>
        <v>413017.29999999993</v>
      </c>
      <c r="D19" s="12">
        <f>+D22+D23+D45</f>
        <v>117544.7</v>
      </c>
      <c r="E19" s="12">
        <f>+E22+E23+E45</f>
        <v>15225861.078919996</v>
      </c>
    </row>
    <row r="20" spans="1:5" ht="15">
      <c r="A20" s="14" t="s">
        <v>20</v>
      </c>
      <c r="B20" s="13">
        <v>10577447.999999998</v>
      </c>
      <c r="C20" s="13">
        <v>0</v>
      </c>
      <c r="D20" s="13">
        <v>0</v>
      </c>
      <c r="E20" s="13">
        <f>SUM(B20:D20)</f>
        <v>10577447.999999998</v>
      </c>
    </row>
    <row r="21" spans="1:5" ht="15">
      <c r="A21" s="14" t="s">
        <v>21</v>
      </c>
      <c r="B21" s="13">
        <v>1003952.0789199977</v>
      </c>
      <c r="C21" s="13">
        <v>0</v>
      </c>
      <c r="D21" s="13">
        <v>0</v>
      </c>
      <c r="E21" s="13">
        <f>SUM(B21:D21)</f>
        <v>1003952.0789199977</v>
      </c>
    </row>
    <row r="22" spans="1:5" ht="15.75">
      <c r="A22" s="138" t="s">
        <v>22</v>
      </c>
      <c r="B22" s="12">
        <f>+B20+B21</f>
        <v>11581400.078919996</v>
      </c>
      <c r="C22" s="13">
        <f>+C20+C21</f>
        <v>0</v>
      </c>
      <c r="D22" s="13">
        <f>+D20+D21</f>
        <v>0</v>
      </c>
      <c r="E22" s="13">
        <f>+E20+E21</f>
        <v>11581400.078919996</v>
      </c>
    </row>
    <row r="23" spans="1:5" ht="15.75">
      <c r="A23" s="139" t="s">
        <v>23</v>
      </c>
      <c r="B23" s="12">
        <f>SUM(B24:B39)</f>
        <v>3017296</v>
      </c>
      <c r="C23" s="13">
        <f>SUM(C24:C39)</f>
        <v>0</v>
      </c>
      <c r="D23" s="12">
        <f>SUM(D24:D39)</f>
        <v>117544.7</v>
      </c>
      <c r="E23" s="13">
        <f>+SUM(E24:E39)</f>
        <v>3134840.7</v>
      </c>
    </row>
    <row r="24" spans="1:5" ht="15">
      <c r="A24" s="14" t="s">
        <v>24</v>
      </c>
      <c r="B24" s="13">
        <v>0</v>
      </c>
      <c r="C24" s="13">
        <v>0</v>
      </c>
      <c r="D24" s="13">
        <v>0</v>
      </c>
      <c r="E24" s="13">
        <f aca="true" t="shared" si="0" ref="E24:E38">SUM(B24:D24)</f>
        <v>0</v>
      </c>
    </row>
    <row r="25" spans="1:5" ht="15">
      <c r="A25" s="14" t="s">
        <v>25</v>
      </c>
      <c r="B25" s="13">
        <v>33600</v>
      </c>
      <c r="C25" s="13">
        <v>0</v>
      </c>
      <c r="D25" s="13">
        <v>0</v>
      </c>
      <c r="E25" s="13">
        <f t="shared" si="0"/>
        <v>33600</v>
      </c>
    </row>
    <row r="26" spans="1:5" ht="15">
      <c r="A26" s="14" t="s">
        <v>26</v>
      </c>
      <c r="B26" s="13">
        <v>0</v>
      </c>
      <c r="C26" s="13">
        <v>0</v>
      </c>
      <c r="D26" s="13">
        <v>0</v>
      </c>
      <c r="E26" s="13">
        <f t="shared" si="0"/>
        <v>0</v>
      </c>
    </row>
    <row r="27" spans="1:5" ht="15">
      <c r="A27" s="14" t="s">
        <v>27</v>
      </c>
      <c r="B27" s="13">
        <v>0</v>
      </c>
      <c r="C27" s="13">
        <v>0</v>
      </c>
      <c r="D27" s="13">
        <v>0</v>
      </c>
      <c r="E27" s="13">
        <f t="shared" si="0"/>
        <v>0</v>
      </c>
    </row>
    <row r="28" spans="1:5" ht="15">
      <c r="A28" s="14" t="s">
        <v>28</v>
      </c>
      <c r="B28" s="13">
        <v>53.6</v>
      </c>
      <c r="C28" s="13">
        <v>0</v>
      </c>
      <c r="D28" s="13">
        <v>0</v>
      </c>
      <c r="E28" s="13">
        <f t="shared" si="0"/>
        <v>53.6</v>
      </c>
    </row>
    <row r="29" spans="1:5" ht="15">
      <c r="A29" s="14" t="s">
        <v>29</v>
      </c>
      <c r="B29" s="13">
        <v>865357.4</v>
      </c>
      <c r="C29" s="13">
        <v>0</v>
      </c>
      <c r="D29" s="13">
        <v>0</v>
      </c>
      <c r="E29" s="13">
        <f t="shared" si="0"/>
        <v>865357.4</v>
      </c>
    </row>
    <row r="30" spans="1:5" ht="15">
      <c r="A30" s="14" t="s">
        <v>30</v>
      </c>
      <c r="B30" s="13">
        <v>1635738.4999999998</v>
      </c>
      <c r="C30" s="13">
        <v>0</v>
      </c>
      <c r="D30" s="13">
        <v>0</v>
      </c>
      <c r="E30" s="13">
        <f t="shared" si="0"/>
        <v>1635738.4999999998</v>
      </c>
    </row>
    <row r="31" spans="1:5" ht="15">
      <c r="A31" s="14" t="s">
        <v>31</v>
      </c>
      <c r="B31" s="13">
        <v>0</v>
      </c>
      <c r="C31" s="13">
        <v>0</v>
      </c>
      <c r="D31" s="13">
        <v>0</v>
      </c>
      <c r="E31" s="13">
        <f t="shared" si="0"/>
        <v>0</v>
      </c>
    </row>
    <row r="32" spans="1:5" ht="15">
      <c r="A32" s="14" t="s">
        <v>32</v>
      </c>
      <c r="B32" s="13">
        <v>21718.800000000007</v>
      </c>
      <c r="C32" s="13">
        <v>0</v>
      </c>
      <c r="D32" s="13">
        <v>0</v>
      </c>
      <c r="E32" s="13">
        <f t="shared" si="0"/>
        <v>21718.800000000007</v>
      </c>
    </row>
    <row r="33" spans="1:5" ht="15">
      <c r="A33" s="14" t="s">
        <v>33</v>
      </c>
      <c r="B33" s="13">
        <v>380050.10000000003</v>
      </c>
      <c r="C33" s="13">
        <v>0</v>
      </c>
      <c r="D33" s="13">
        <v>0</v>
      </c>
      <c r="E33" s="13">
        <f t="shared" si="0"/>
        <v>380050.10000000003</v>
      </c>
    </row>
    <row r="34" spans="1:5" ht="15">
      <c r="A34" s="14" t="s">
        <v>34</v>
      </c>
      <c r="B34" s="13">
        <v>0</v>
      </c>
      <c r="C34" s="13">
        <v>0</v>
      </c>
      <c r="D34" s="13">
        <v>34192</v>
      </c>
      <c r="E34" s="13">
        <f t="shared" si="0"/>
        <v>34192</v>
      </c>
    </row>
    <row r="35" spans="1:5" ht="15">
      <c r="A35" s="14" t="s">
        <v>35</v>
      </c>
      <c r="B35" s="13">
        <v>0</v>
      </c>
      <c r="C35" s="13">
        <v>0</v>
      </c>
      <c r="D35" s="13">
        <v>83352.7</v>
      </c>
      <c r="E35" s="13">
        <f t="shared" si="0"/>
        <v>83352.7</v>
      </c>
    </row>
    <row r="36" spans="1:5" ht="15">
      <c r="A36" s="14" t="s">
        <v>36</v>
      </c>
      <c r="B36" s="13">
        <v>12564.2</v>
      </c>
      <c r="C36" s="13">
        <v>0</v>
      </c>
      <c r="D36" s="13">
        <v>0</v>
      </c>
      <c r="E36" s="13">
        <f t="shared" si="0"/>
        <v>12564.2</v>
      </c>
    </row>
    <row r="37" spans="1:5" ht="15">
      <c r="A37" s="14" t="s">
        <v>37</v>
      </c>
      <c r="B37" s="13">
        <v>6000</v>
      </c>
      <c r="C37" s="13">
        <v>0</v>
      </c>
      <c r="D37" s="13">
        <v>0</v>
      </c>
      <c r="E37" s="13">
        <f t="shared" si="0"/>
        <v>6000</v>
      </c>
    </row>
    <row r="38" spans="1:5" ht="15">
      <c r="A38" s="14" t="s">
        <v>38</v>
      </c>
      <c r="B38" s="13">
        <v>0</v>
      </c>
      <c r="C38" s="13">
        <v>0</v>
      </c>
      <c r="D38" s="13">
        <v>0</v>
      </c>
      <c r="E38" s="13">
        <f t="shared" si="0"/>
        <v>0</v>
      </c>
    </row>
    <row r="39" spans="1:5" ht="15.75">
      <c r="A39" s="14" t="s">
        <v>39</v>
      </c>
      <c r="B39" s="12">
        <f>SUM(B40:B44)</f>
        <v>62213.399999999994</v>
      </c>
      <c r="C39" s="13">
        <f>+SUM(C40:C44)</f>
        <v>0</v>
      </c>
      <c r="D39" s="13">
        <f>+SUM(D40:D44)</f>
        <v>0</v>
      </c>
      <c r="E39" s="13">
        <f>+SUM(E40:E44)</f>
        <v>62213.399999999994</v>
      </c>
    </row>
    <row r="40" spans="1:5" ht="15">
      <c r="A40" s="14" t="s">
        <v>40</v>
      </c>
      <c r="B40" s="13">
        <v>62213.399999999994</v>
      </c>
      <c r="C40" s="13">
        <v>0</v>
      </c>
      <c r="D40" s="13">
        <v>0</v>
      </c>
      <c r="E40" s="13">
        <f>SUM(B40:D40)</f>
        <v>62213.399999999994</v>
      </c>
    </row>
    <row r="41" spans="1:5" ht="15">
      <c r="A41" s="14" t="s">
        <v>41</v>
      </c>
      <c r="B41" s="13">
        <v>0</v>
      </c>
      <c r="C41" s="13">
        <v>0</v>
      </c>
      <c r="D41" s="13">
        <v>0</v>
      </c>
      <c r="E41" s="13">
        <f>SUM(B41:D41)</f>
        <v>0</v>
      </c>
    </row>
    <row r="42" spans="1:5" ht="15">
      <c r="A42" s="140" t="s">
        <v>42</v>
      </c>
      <c r="B42" s="13">
        <v>0</v>
      </c>
      <c r="C42" s="13">
        <v>0</v>
      </c>
      <c r="D42" s="13">
        <v>0</v>
      </c>
      <c r="E42" s="13">
        <f>SUM(B42:D42)</f>
        <v>0</v>
      </c>
    </row>
    <row r="43" spans="1:5" ht="15">
      <c r="A43" s="140" t="s">
        <v>43</v>
      </c>
      <c r="B43" s="13">
        <v>0</v>
      </c>
      <c r="C43" s="13">
        <v>0</v>
      </c>
      <c r="D43" s="13">
        <v>0</v>
      </c>
      <c r="E43" s="13">
        <f>SUM(B43:D43)</f>
        <v>0</v>
      </c>
    </row>
    <row r="44" spans="1:5" ht="15">
      <c r="A44" s="14" t="s">
        <v>44</v>
      </c>
      <c r="B44" s="13">
        <v>0</v>
      </c>
      <c r="C44" s="13">
        <v>0</v>
      </c>
      <c r="D44" s="13">
        <v>0</v>
      </c>
      <c r="E44" s="13">
        <f>SUM(B44:D44)</f>
        <v>0</v>
      </c>
    </row>
    <row r="45" spans="1:5" ht="15.75">
      <c r="A45" s="138" t="s">
        <v>45</v>
      </c>
      <c r="B45" s="12">
        <f>+SUM(B46:B49)</f>
        <v>96603</v>
      </c>
      <c r="C45" s="12">
        <f>+SUM(C46:C49)</f>
        <v>413017.29999999993</v>
      </c>
      <c r="D45" s="12">
        <f>+SUM(D46:D49)</f>
        <v>0</v>
      </c>
      <c r="E45" s="12">
        <f>+SUM(E46:E49)</f>
        <v>509620.29999999993</v>
      </c>
    </row>
    <row r="46" spans="1:5" ht="15">
      <c r="A46" s="14" t="s">
        <v>46</v>
      </c>
      <c r="B46" s="13">
        <v>69946.1</v>
      </c>
      <c r="C46" s="13">
        <v>0</v>
      </c>
      <c r="D46" s="13">
        <v>0</v>
      </c>
      <c r="E46" s="13">
        <f>SUM(B46:D46)</f>
        <v>69946.1</v>
      </c>
    </row>
    <row r="47" spans="1:5" ht="15">
      <c r="A47" s="14" t="s">
        <v>47</v>
      </c>
      <c r="B47" s="13">
        <v>0</v>
      </c>
      <c r="C47" s="13">
        <v>98345.09999999999</v>
      </c>
      <c r="D47" s="13">
        <v>0</v>
      </c>
      <c r="E47" s="13">
        <f>SUM(B47:D47)</f>
        <v>98345.09999999999</v>
      </c>
    </row>
    <row r="48" spans="1:5" ht="15">
      <c r="A48" s="14" t="s">
        <v>48</v>
      </c>
      <c r="B48" s="13">
        <v>26656.899999999998</v>
      </c>
      <c r="C48" s="13">
        <v>0</v>
      </c>
      <c r="D48" s="13">
        <v>0</v>
      </c>
      <c r="E48" s="13">
        <f>SUM(B48:D48)</f>
        <v>26656.899999999998</v>
      </c>
    </row>
    <row r="49" spans="1:5" ht="15">
      <c r="A49" s="14" t="s">
        <v>49</v>
      </c>
      <c r="B49" s="13">
        <v>0</v>
      </c>
      <c r="C49" s="13">
        <v>314672.19999999995</v>
      </c>
      <c r="D49" s="13">
        <v>0</v>
      </c>
      <c r="E49" s="13">
        <f>SUM(B49:D49)</f>
        <v>314672.19999999995</v>
      </c>
    </row>
    <row r="50" spans="1:5" ht="15.75">
      <c r="A50" s="138" t="s">
        <v>50</v>
      </c>
      <c r="B50" s="15">
        <f>+B51</f>
        <v>0</v>
      </c>
      <c r="C50" s="15">
        <f>+C51</f>
        <v>0</v>
      </c>
      <c r="D50" s="15">
        <f>+D51</f>
        <v>3194279.6999999997</v>
      </c>
      <c r="E50" s="15">
        <f>+E51</f>
        <v>3194279.6999999997</v>
      </c>
    </row>
    <row r="51" spans="1:5" ht="15">
      <c r="A51" s="14" t="s">
        <v>51</v>
      </c>
      <c r="B51" s="13">
        <v>0</v>
      </c>
      <c r="C51" s="13">
        <v>0</v>
      </c>
      <c r="D51" s="13">
        <v>3194279.6999999997</v>
      </c>
      <c r="E51" s="13">
        <f>SUM(B51:D51)</f>
        <v>3194279.6999999997</v>
      </c>
    </row>
    <row r="52" spans="1:5" ht="15.75">
      <c r="A52" s="138" t="s">
        <v>52</v>
      </c>
      <c r="B52" s="12">
        <f>+B53+B56</f>
        <v>145651.83745</v>
      </c>
      <c r="C52" s="12">
        <f>+C53+C56</f>
        <v>15982.13059</v>
      </c>
      <c r="D52" s="12">
        <f>+D53+D56</f>
        <v>0</v>
      </c>
      <c r="E52" s="12">
        <f>+E53+E56</f>
        <v>161633.96804</v>
      </c>
    </row>
    <row r="53" spans="1:5" ht="15">
      <c r="A53" s="14" t="s">
        <v>53</v>
      </c>
      <c r="B53" s="16">
        <f>+B54+B55</f>
        <v>0</v>
      </c>
      <c r="C53" s="16">
        <f>+C54+C55</f>
        <v>0</v>
      </c>
      <c r="D53" s="16">
        <f>+D54+D55</f>
        <v>0</v>
      </c>
      <c r="E53" s="63">
        <f>+E54+E55</f>
        <v>0</v>
      </c>
    </row>
    <row r="54" spans="1:5" ht="15">
      <c r="A54" s="14" t="s">
        <v>54</v>
      </c>
      <c r="B54" s="13"/>
      <c r="C54" s="13"/>
      <c r="D54" s="13">
        <v>0</v>
      </c>
      <c r="E54" s="64">
        <f>SUM(B54:D54)</f>
        <v>0</v>
      </c>
    </row>
    <row r="55" spans="1:5" ht="15">
      <c r="A55" s="14" t="s">
        <v>55</v>
      </c>
      <c r="B55" s="13"/>
      <c r="C55" s="13"/>
      <c r="D55" s="13">
        <v>0</v>
      </c>
      <c r="E55" s="64">
        <f>SUM(B55:D55)</f>
        <v>0</v>
      </c>
    </row>
    <row r="56" spans="1:5" ht="15">
      <c r="A56" s="14" t="s">
        <v>56</v>
      </c>
      <c r="B56" s="154">
        <v>145651.83745</v>
      </c>
      <c r="C56" s="13">
        <v>15982.13059</v>
      </c>
      <c r="D56" s="13">
        <v>0</v>
      </c>
      <c r="E56" s="64">
        <f>SUM(B56:D56)</f>
        <v>161633.96804</v>
      </c>
    </row>
    <row r="57" spans="1:5" ht="15.75">
      <c r="A57" s="138" t="s">
        <v>57</v>
      </c>
      <c r="B57" s="17">
        <f>+B58</f>
        <v>548.2727600000001</v>
      </c>
      <c r="C57" s="17">
        <f>+C58</f>
        <v>2170.67591</v>
      </c>
      <c r="D57" s="17">
        <f>+D58</f>
        <v>0</v>
      </c>
      <c r="E57" s="65">
        <f>+E58</f>
        <v>2718.9486699999998</v>
      </c>
    </row>
    <row r="58" spans="1:5" ht="15">
      <c r="A58" s="14" t="s">
        <v>58</v>
      </c>
      <c r="B58" s="13">
        <v>548.2727600000001</v>
      </c>
      <c r="C58" s="13">
        <v>2170.67591</v>
      </c>
      <c r="D58" s="13">
        <v>0</v>
      </c>
      <c r="E58" s="64">
        <f>SUM(B58:D58)</f>
        <v>2718.9486699999998</v>
      </c>
    </row>
    <row r="59" spans="1:5" ht="15.75">
      <c r="A59" s="138" t="s">
        <v>59</v>
      </c>
      <c r="B59" s="12">
        <f>+B60</f>
        <v>26255.877869999997</v>
      </c>
      <c r="C59" s="12">
        <f>+C60</f>
        <v>923.6000799999999</v>
      </c>
      <c r="D59" s="12">
        <f>+D60</f>
        <v>0</v>
      </c>
      <c r="E59" s="25">
        <f>+E60</f>
        <v>27179.477949999997</v>
      </c>
    </row>
    <row r="60" spans="1:5" ht="15">
      <c r="A60" s="14" t="s">
        <v>60</v>
      </c>
      <c r="B60" s="13">
        <v>26255.877869999997</v>
      </c>
      <c r="C60" s="13">
        <v>923.6000799999999</v>
      </c>
      <c r="D60" s="13">
        <v>0</v>
      </c>
      <c r="E60" s="64">
        <f>SUM(B60:D60)</f>
        <v>27179.477949999997</v>
      </c>
    </row>
    <row r="61" spans="1:5" ht="15.75">
      <c r="A61" s="138" t="s">
        <v>61</v>
      </c>
      <c r="B61" s="17">
        <f>+B62+B63+B67+B68</f>
        <v>1683039.2993899998</v>
      </c>
      <c r="C61" s="17">
        <f>+C62+C63+C67+C68</f>
        <v>28578.52369</v>
      </c>
      <c r="D61" s="17">
        <f>+D62+D63+D67+D68</f>
        <v>464702.1525079999</v>
      </c>
      <c r="E61" s="65">
        <f>+E62+E63+E67+E68</f>
        <v>2176319.975588</v>
      </c>
    </row>
    <row r="62" spans="1:5" ht="15">
      <c r="A62" s="14" t="s">
        <v>62</v>
      </c>
      <c r="B62" s="13">
        <v>0</v>
      </c>
      <c r="C62" s="13">
        <v>0</v>
      </c>
      <c r="D62" s="13">
        <v>0</v>
      </c>
      <c r="E62" s="64">
        <f>SUM(B62:D62)</f>
        <v>0</v>
      </c>
    </row>
    <row r="63" spans="1:5" ht="15">
      <c r="A63" s="14" t="s">
        <v>63</v>
      </c>
      <c r="B63" s="13">
        <f>+SUM(B64:B66)</f>
        <v>567006.292</v>
      </c>
      <c r="C63" s="13">
        <f>+SUM(C64:C66)</f>
        <v>0</v>
      </c>
      <c r="D63" s="13">
        <f>+SUM(D64:D66)</f>
        <v>0</v>
      </c>
      <c r="E63" s="13">
        <f>+SUM(E64:E66)</f>
        <v>567006.292</v>
      </c>
    </row>
    <row r="64" spans="1:5" ht="15">
      <c r="A64" s="14" t="s">
        <v>64</v>
      </c>
      <c r="B64" s="13">
        <v>567006.292</v>
      </c>
      <c r="C64" s="13">
        <v>0</v>
      </c>
      <c r="D64" s="13">
        <v>0</v>
      </c>
      <c r="E64" s="13">
        <f>SUM(B64:D64)</f>
        <v>567006.292</v>
      </c>
    </row>
    <row r="65" spans="1:5" ht="15">
      <c r="A65" s="14" t="s">
        <v>65</v>
      </c>
      <c r="B65" s="13">
        <v>0</v>
      </c>
      <c r="C65" s="13">
        <v>0</v>
      </c>
      <c r="D65" s="13">
        <v>0</v>
      </c>
      <c r="E65" s="13">
        <f>SUM(B65:D65)</f>
        <v>0</v>
      </c>
    </row>
    <row r="66" spans="1:5" ht="15">
      <c r="A66" s="14" t="s">
        <v>66</v>
      </c>
      <c r="B66" s="13">
        <v>0</v>
      </c>
      <c r="C66" s="13">
        <v>0</v>
      </c>
      <c r="D66" s="13">
        <v>0</v>
      </c>
      <c r="E66" s="13">
        <f>SUM(B66:D66)</f>
        <v>0</v>
      </c>
    </row>
    <row r="67" spans="1:5" ht="15">
      <c r="A67" s="14" t="s">
        <v>67</v>
      </c>
      <c r="B67" s="13">
        <v>0</v>
      </c>
      <c r="C67" s="13">
        <v>0</v>
      </c>
      <c r="D67" s="13">
        <v>0</v>
      </c>
      <c r="E67" s="13">
        <f>SUM(B67:D67)</f>
        <v>0</v>
      </c>
    </row>
    <row r="68" spans="1:5" ht="15.75" thickBot="1">
      <c r="A68" s="134" t="s">
        <v>68</v>
      </c>
      <c r="B68" s="13">
        <v>1116033.00739</v>
      </c>
      <c r="C68" s="13">
        <v>28578.52369</v>
      </c>
      <c r="D68" s="155">
        <v>464702.1525079999</v>
      </c>
      <c r="E68" s="13">
        <f>SUM(B68:D68)</f>
        <v>1609313.6835879998</v>
      </c>
    </row>
    <row r="69" spans="1:5" ht="16.5" thickBot="1">
      <c r="A69" s="137" t="s">
        <v>69</v>
      </c>
      <c r="B69" s="10">
        <f>+B70+B74+B76+B78</f>
        <v>16946341.67839</v>
      </c>
      <c r="C69" s="10">
        <f>+C70+C74+C76+C78</f>
        <v>819276.6464700002</v>
      </c>
      <c r="D69" s="10">
        <f>+D70+D74+D76+D78</f>
        <v>4319592.899999999</v>
      </c>
      <c r="E69" s="10">
        <f>+E70+E74+E76+E78</f>
        <v>22085211.22486</v>
      </c>
    </row>
    <row r="70" spans="1:6" ht="15.75">
      <c r="A70" s="138" t="s">
        <v>70</v>
      </c>
      <c r="B70" s="17">
        <f>+SUM(B71:B73)</f>
        <v>12363985.5445</v>
      </c>
      <c r="C70" s="17">
        <f>+SUM(C71:C73)</f>
        <v>734859.6709800002</v>
      </c>
      <c r="D70" s="17">
        <f>+SUM(D71:D73)</f>
        <v>214450.2099999999</v>
      </c>
      <c r="E70" s="17">
        <f>+SUM(E71:E73)</f>
        <v>13313295.42548</v>
      </c>
      <c r="F70" s="35"/>
    </row>
    <row r="71" spans="1:5" ht="15">
      <c r="A71" s="14" t="s">
        <v>71</v>
      </c>
      <c r="B71" s="13">
        <v>10766717.11747</v>
      </c>
      <c r="C71" s="13">
        <v>568718.1650500001</v>
      </c>
      <c r="D71" s="13">
        <v>159091.46177531435</v>
      </c>
      <c r="E71" s="13">
        <f>SUM(B71:D71)</f>
        <v>11494526.744295314</v>
      </c>
    </row>
    <row r="72" spans="1:5" ht="15">
      <c r="A72" s="14" t="s">
        <v>72</v>
      </c>
      <c r="B72" s="13">
        <v>700393.80081</v>
      </c>
      <c r="C72" s="13">
        <v>30890.95651</v>
      </c>
      <c r="D72" s="13">
        <v>9540.045459873618</v>
      </c>
      <c r="E72" s="13">
        <f>SUM(B72:D72)</f>
        <v>740824.8027798737</v>
      </c>
    </row>
    <row r="73" spans="1:5" ht="15">
      <c r="A73" s="14" t="s">
        <v>73</v>
      </c>
      <c r="B73" s="13">
        <v>896874.6262200008</v>
      </c>
      <c r="C73" s="13">
        <v>135250.54942</v>
      </c>
      <c r="D73" s="13">
        <v>45818.70276481194</v>
      </c>
      <c r="E73" s="13">
        <f>SUM(B73:D73)</f>
        <v>1077943.8784048127</v>
      </c>
    </row>
    <row r="74" spans="1:5" ht="15.75">
      <c r="A74" s="138" t="s">
        <v>74</v>
      </c>
      <c r="B74" s="17">
        <f>+B75</f>
        <v>150229.14500000002</v>
      </c>
      <c r="C74" s="17">
        <f>+C75</f>
        <v>0</v>
      </c>
      <c r="D74" s="17">
        <f>+D75</f>
        <v>0</v>
      </c>
      <c r="E74" s="17">
        <f>+E75</f>
        <v>150229.14500000002</v>
      </c>
    </row>
    <row r="75" spans="1:5" ht="15">
      <c r="A75" s="14" t="s">
        <v>75</v>
      </c>
      <c r="B75" s="13">
        <v>150229.14500000002</v>
      </c>
      <c r="C75" s="13">
        <v>0</v>
      </c>
      <c r="D75" s="13">
        <v>0</v>
      </c>
      <c r="E75" s="13">
        <f>SUM(B75:D75)</f>
        <v>150229.14500000002</v>
      </c>
    </row>
    <row r="76" spans="1:5" ht="15.75">
      <c r="A76" s="138" t="s">
        <v>76</v>
      </c>
      <c r="B76" s="17">
        <f>+B77</f>
        <v>0</v>
      </c>
      <c r="C76" s="17">
        <f>+C77</f>
        <v>0</v>
      </c>
      <c r="D76" s="17">
        <f>+D77</f>
        <v>4105142.69</v>
      </c>
      <c r="E76" s="17">
        <f>+E77</f>
        <v>4105142.69</v>
      </c>
    </row>
    <row r="77" spans="1:6" ht="15">
      <c r="A77" s="14" t="s">
        <v>77</v>
      </c>
      <c r="B77" s="13">
        <v>0</v>
      </c>
      <c r="C77" s="13">
        <v>0</v>
      </c>
      <c r="D77" s="13">
        <v>4105142.69</v>
      </c>
      <c r="E77" s="13">
        <f>SUM(B77:D77)</f>
        <v>4105142.69</v>
      </c>
      <c r="F77" s="35"/>
    </row>
    <row r="78" spans="1:5" ht="15.75">
      <c r="A78" s="138" t="s">
        <v>78</v>
      </c>
      <c r="B78" s="17">
        <f>+B79+B82+B89</f>
        <v>4432126.98889</v>
      </c>
      <c r="C78" s="17">
        <f>+C79+C82+C89</f>
        <v>84416.97549</v>
      </c>
      <c r="D78" s="17">
        <f>+D79+D82+D89</f>
        <v>0</v>
      </c>
      <c r="E78" s="17">
        <f>+E79+E82+E89</f>
        <v>4516543.96438</v>
      </c>
    </row>
    <row r="79" spans="1:5" ht="15.75">
      <c r="A79" s="14" t="s">
        <v>79</v>
      </c>
      <c r="B79" s="12">
        <f>+B80+B81</f>
        <v>1625221.2635500003</v>
      </c>
      <c r="C79" s="12">
        <f>+C80+C81</f>
        <v>49665.82045</v>
      </c>
      <c r="D79" s="13">
        <f>+D80+D81</f>
        <v>0</v>
      </c>
      <c r="E79" s="13">
        <f>+E80+E81</f>
        <v>1674887.0840000003</v>
      </c>
    </row>
    <row r="80" spans="1:5" ht="15">
      <c r="A80" s="14" t="s">
        <v>80</v>
      </c>
      <c r="B80" s="13">
        <v>456604.0753</v>
      </c>
      <c r="C80" s="13">
        <v>0</v>
      </c>
      <c r="D80" s="13">
        <v>0</v>
      </c>
      <c r="E80" s="13">
        <f>SUM(B80:D80)</f>
        <v>456604.0753</v>
      </c>
    </row>
    <row r="81" spans="1:5" ht="15">
      <c r="A81" s="14" t="s">
        <v>81</v>
      </c>
      <c r="B81" s="13">
        <v>1168617.1882500001</v>
      </c>
      <c r="C81" s="13">
        <v>49665.82045</v>
      </c>
      <c r="D81" s="13">
        <v>0</v>
      </c>
      <c r="E81" s="13">
        <f>SUM(B81:D81)</f>
        <v>1218283.0087000001</v>
      </c>
    </row>
    <row r="82" spans="1:5" ht="15.75">
      <c r="A82" s="14" t="s">
        <v>82</v>
      </c>
      <c r="B82" s="12">
        <f>+B83+B86+B87+B88</f>
        <v>2806905.7253399994</v>
      </c>
      <c r="C82" s="12">
        <f>+C83+C86+C87+C88</f>
        <v>34751.15504</v>
      </c>
      <c r="D82" s="13">
        <f>+D83+D86+D87+D88</f>
        <v>0</v>
      </c>
      <c r="E82" s="13">
        <f>+E83+E86+E87+E88</f>
        <v>2841656.8803799995</v>
      </c>
    </row>
    <row r="83" spans="1:5" ht="15.75">
      <c r="A83" s="14" t="s">
        <v>83</v>
      </c>
      <c r="B83" s="12">
        <f>+B84+B85</f>
        <v>2420284.7395899994</v>
      </c>
      <c r="C83" s="12">
        <f>+C84+C85</f>
        <v>13660.1772</v>
      </c>
      <c r="D83" s="13">
        <f>+D84+D85</f>
        <v>0</v>
      </c>
      <c r="E83" s="13">
        <f>+E84+E85</f>
        <v>2433944.9167899997</v>
      </c>
    </row>
    <row r="84" spans="1:5" ht="15">
      <c r="A84" s="14" t="s">
        <v>84</v>
      </c>
      <c r="B84" s="13">
        <v>2335597.7009699997</v>
      </c>
      <c r="C84" s="13">
        <v>0</v>
      </c>
      <c r="D84" s="13">
        <v>0</v>
      </c>
      <c r="E84" s="13">
        <f aca="true" t="shared" si="1" ref="E84:E89">SUM(B84:D84)</f>
        <v>2335597.7009699997</v>
      </c>
    </row>
    <row r="85" spans="1:5" ht="15">
      <c r="A85" s="14" t="s">
        <v>85</v>
      </c>
      <c r="B85" s="13">
        <v>84687.03862</v>
      </c>
      <c r="C85" s="13">
        <v>13660.1772</v>
      </c>
      <c r="D85" s="13">
        <v>0</v>
      </c>
      <c r="E85" s="13">
        <f t="shared" si="1"/>
        <v>98347.21582000001</v>
      </c>
    </row>
    <row r="86" spans="1:5" ht="15">
      <c r="A86" s="14" t="s">
        <v>86</v>
      </c>
      <c r="B86" s="13">
        <v>0</v>
      </c>
      <c r="C86" s="13">
        <v>0</v>
      </c>
      <c r="D86" s="13">
        <v>0</v>
      </c>
      <c r="E86" s="13">
        <f t="shared" si="1"/>
        <v>0</v>
      </c>
    </row>
    <row r="87" spans="1:5" ht="15">
      <c r="A87" s="14" t="s">
        <v>87</v>
      </c>
      <c r="B87" s="13">
        <v>0</v>
      </c>
      <c r="C87" s="13">
        <v>0</v>
      </c>
      <c r="D87" s="13">
        <v>0</v>
      </c>
      <c r="E87" s="13">
        <f t="shared" si="1"/>
        <v>0</v>
      </c>
    </row>
    <row r="88" spans="1:5" ht="15">
      <c r="A88" s="14" t="s">
        <v>81</v>
      </c>
      <c r="B88" s="13">
        <v>386620.98575</v>
      </c>
      <c r="C88" s="13">
        <v>21090.97784</v>
      </c>
      <c r="D88" s="13">
        <v>0</v>
      </c>
      <c r="E88" s="13">
        <f t="shared" si="1"/>
        <v>407711.96359</v>
      </c>
    </row>
    <row r="89" spans="1:5" ht="15.75" thickBot="1">
      <c r="A89" s="141" t="s">
        <v>88</v>
      </c>
      <c r="B89" s="13">
        <v>0</v>
      </c>
      <c r="C89" s="13">
        <v>0</v>
      </c>
      <c r="D89" s="13">
        <v>0</v>
      </c>
      <c r="E89" s="13">
        <f t="shared" si="1"/>
        <v>0</v>
      </c>
    </row>
    <row r="90" spans="1:5" ht="16.5" thickBot="1">
      <c r="A90" s="137" t="s">
        <v>89</v>
      </c>
      <c r="B90" s="10">
        <f>+B11-B69</f>
        <v>2395506.9830899984</v>
      </c>
      <c r="C90" s="10">
        <f>+C11-C69</f>
        <v>-277299.82712000015</v>
      </c>
      <c r="D90" s="10">
        <f>+D11-D69</f>
        <v>-543066.3474919996</v>
      </c>
      <c r="E90" s="10">
        <f>+E11-E69</f>
        <v>1575140.808477994</v>
      </c>
    </row>
    <row r="91" spans="1:5" ht="16.5" thickBot="1">
      <c r="A91" s="137" t="s">
        <v>90</v>
      </c>
      <c r="B91" s="10">
        <f>+B92+B94+B102</f>
        <v>1220613.28006</v>
      </c>
      <c r="C91" s="10">
        <f>+C92+C94+C102</f>
        <v>1573627.62365</v>
      </c>
      <c r="D91" s="10">
        <f>+D92+D94+D102</f>
        <v>0</v>
      </c>
      <c r="E91" s="10">
        <f>+E92+E94+E102</f>
        <v>2794240.90371</v>
      </c>
    </row>
    <row r="92" spans="1:5" ht="15.75">
      <c r="A92" s="138" t="s">
        <v>91</v>
      </c>
      <c r="B92" s="17">
        <f>+B93</f>
        <v>2350.5272099999997</v>
      </c>
      <c r="C92" s="17">
        <f>+C93</f>
        <v>84325.51183</v>
      </c>
      <c r="D92" s="17">
        <f>+D93</f>
        <v>0</v>
      </c>
      <c r="E92" s="17">
        <f>+E93</f>
        <v>86676.03904</v>
      </c>
    </row>
    <row r="93" spans="1:5" ht="15">
      <c r="A93" s="14" t="s">
        <v>92</v>
      </c>
      <c r="B93" s="13">
        <v>2350.5272099999997</v>
      </c>
      <c r="C93" s="13">
        <v>84325.51183</v>
      </c>
      <c r="D93" s="13">
        <v>0</v>
      </c>
      <c r="E93" s="13">
        <f>SUM(B93:D93)</f>
        <v>86676.03904</v>
      </c>
    </row>
    <row r="94" spans="1:5" ht="15.75">
      <c r="A94" s="138" t="s">
        <v>93</v>
      </c>
      <c r="B94" s="17">
        <f>+B95+B96+B97+B101</f>
        <v>1217028.09021</v>
      </c>
      <c r="C94" s="17">
        <f>+C95+C96+C97+C101</f>
        <v>1481394.24057</v>
      </c>
      <c r="D94" s="17">
        <f>+D95+D96+D97+D101</f>
        <v>0</v>
      </c>
      <c r="E94" s="17">
        <f>+E95+E96+E97+E101</f>
        <v>2698422.33078</v>
      </c>
    </row>
    <row r="95" spans="1:5" ht="15">
      <c r="A95" s="14" t="s">
        <v>94</v>
      </c>
      <c r="B95" s="13">
        <v>0</v>
      </c>
      <c r="C95" s="13">
        <v>0</v>
      </c>
      <c r="D95" s="13">
        <v>0</v>
      </c>
      <c r="E95" s="13">
        <f>SUM(B95:D95)</f>
        <v>0</v>
      </c>
    </row>
    <row r="96" spans="1:5" ht="15">
      <c r="A96" s="14" t="s">
        <v>95</v>
      </c>
      <c r="B96" s="13">
        <v>0</v>
      </c>
      <c r="C96" s="13">
        <v>0</v>
      </c>
      <c r="D96" s="13">
        <v>0</v>
      </c>
      <c r="E96" s="13">
        <f>SUM(B96:D96)</f>
        <v>0</v>
      </c>
    </row>
    <row r="97" spans="1:5" ht="15">
      <c r="A97" s="14" t="s">
        <v>96</v>
      </c>
      <c r="B97" s="13">
        <f>+SUM(B98:B100)</f>
        <v>0</v>
      </c>
      <c r="C97" s="13">
        <f>+SUM(C98:C100)</f>
        <v>0</v>
      </c>
      <c r="D97" s="13">
        <f>+SUM(D98:D100)</f>
        <v>0</v>
      </c>
      <c r="E97" s="13">
        <f>+SUM(E98:E100)</f>
        <v>0</v>
      </c>
    </row>
    <row r="98" spans="1:5" ht="15">
      <c r="A98" s="14" t="s">
        <v>64</v>
      </c>
      <c r="B98" s="13">
        <v>0</v>
      </c>
      <c r="C98" s="13">
        <v>0</v>
      </c>
      <c r="D98" s="13">
        <v>0</v>
      </c>
      <c r="E98" s="13">
        <f>SUM(B98:D98)</f>
        <v>0</v>
      </c>
    </row>
    <row r="99" spans="1:5" ht="15">
      <c r="A99" s="14" t="s">
        <v>65</v>
      </c>
      <c r="B99" s="13">
        <v>0</v>
      </c>
      <c r="C99" s="13">
        <v>0</v>
      </c>
      <c r="D99" s="13">
        <v>0</v>
      </c>
      <c r="E99" s="13">
        <f>SUM(B99:D99)</f>
        <v>0</v>
      </c>
    </row>
    <row r="100" spans="1:5" ht="15">
      <c r="A100" s="14" t="s">
        <v>66</v>
      </c>
      <c r="B100" s="13">
        <v>0</v>
      </c>
      <c r="C100" s="13">
        <v>0</v>
      </c>
      <c r="D100" s="13">
        <v>0</v>
      </c>
      <c r="E100" s="13">
        <f>SUM(B100:D100)</f>
        <v>0</v>
      </c>
    </row>
    <row r="101" spans="1:5" ht="15">
      <c r="A101" s="14" t="s">
        <v>97</v>
      </c>
      <c r="B101" s="13">
        <v>1217028.09021</v>
      </c>
      <c r="C101" s="13">
        <v>1481394.24057</v>
      </c>
      <c r="D101" s="13">
        <v>0</v>
      </c>
      <c r="E101" s="13">
        <f>SUM(B101:D101)</f>
        <v>2698422.33078</v>
      </c>
    </row>
    <row r="102" spans="1:5" ht="15.75">
      <c r="A102" s="138" t="s">
        <v>98</v>
      </c>
      <c r="B102" s="17">
        <f>+B103+B104</f>
        <v>1234.6626400000002</v>
      </c>
      <c r="C102" s="17">
        <f>+C103+C104</f>
        <v>7907.87125</v>
      </c>
      <c r="D102" s="17">
        <f>+D103+D104</f>
        <v>0</v>
      </c>
      <c r="E102" s="17">
        <f>+E103+E104</f>
        <v>9142.53389</v>
      </c>
    </row>
    <row r="103" spans="1:5" ht="15">
      <c r="A103" s="14" t="s">
        <v>99</v>
      </c>
      <c r="B103" s="13">
        <v>0</v>
      </c>
      <c r="C103" s="13">
        <v>0</v>
      </c>
      <c r="D103" s="13">
        <v>0</v>
      </c>
      <c r="E103" s="13">
        <f>SUM(B103:D103)</f>
        <v>0</v>
      </c>
    </row>
    <row r="104" spans="1:5" ht="15.75" thickBot="1">
      <c r="A104" s="14" t="s">
        <v>100</v>
      </c>
      <c r="B104" s="13">
        <v>1234.6626400000002</v>
      </c>
      <c r="C104" s="156">
        <v>7907.87125</v>
      </c>
      <c r="D104" s="13">
        <v>0</v>
      </c>
      <c r="E104" s="13">
        <f>SUM(B104:D104)</f>
        <v>9142.53389</v>
      </c>
    </row>
    <row r="105" spans="1:5" ht="16.5" thickBot="1">
      <c r="A105" s="137" t="s">
        <v>101</v>
      </c>
      <c r="B105" s="10">
        <f>+B106+B118+B131</f>
        <v>2042602.77678</v>
      </c>
      <c r="C105" s="10">
        <f>+C106+C118+C131</f>
        <v>2085377.4935900003</v>
      </c>
      <c r="D105" s="10">
        <f>+D106+D118+D131</f>
        <v>0</v>
      </c>
      <c r="E105" s="10">
        <f>+E106+E118+E131</f>
        <v>4127980.2703700005</v>
      </c>
    </row>
    <row r="106" spans="1:5" ht="15.75">
      <c r="A106" s="138" t="s">
        <v>102</v>
      </c>
      <c r="B106" s="17">
        <f>+B107+B108+B116+B117</f>
        <v>1036759.18642</v>
      </c>
      <c r="C106" s="17">
        <f>+C107+C108+C116+C117</f>
        <v>1870664.4351000004</v>
      </c>
      <c r="D106" s="17">
        <f>+D107+D108+D116+D117</f>
        <v>0</v>
      </c>
      <c r="E106" s="17">
        <f>+E107+E108+E116+E117</f>
        <v>2907423.6215200005</v>
      </c>
    </row>
    <row r="107" spans="1:5" ht="15">
      <c r="A107" s="14" t="s">
        <v>103</v>
      </c>
      <c r="B107" s="13">
        <v>67499.37384999999</v>
      </c>
      <c r="C107" s="13">
        <v>59475.02623999999</v>
      </c>
      <c r="D107" s="13">
        <v>0</v>
      </c>
      <c r="E107" s="13">
        <f>SUM(B107:D107)</f>
        <v>126974.40008999998</v>
      </c>
    </row>
    <row r="108" spans="1:5" ht="15.75">
      <c r="A108" s="14" t="s">
        <v>104</v>
      </c>
      <c r="B108" s="12">
        <f>B109+B110</f>
        <v>965762.58475</v>
      </c>
      <c r="C108" s="12">
        <f>SUM(C109:C110)</f>
        <v>1798059.0665500003</v>
      </c>
      <c r="D108" s="13">
        <v>0</v>
      </c>
      <c r="E108" s="13">
        <f>+E109+E110+E115</f>
        <v>2763821.6513</v>
      </c>
    </row>
    <row r="109" spans="1:5" ht="15">
      <c r="A109" s="14" t="s">
        <v>105</v>
      </c>
      <c r="B109" s="13">
        <v>62847.32499</v>
      </c>
      <c r="C109" s="13">
        <v>21757.82618</v>
      </c>
      <c r="D109" s="13"/>
      <c r="E109" s="13">
        <f>SUM(B109:D109)</f>
        <v>84605.15117</v>
      </c>
    </row>
    <row r="110" spans="1:5" ht="15.75">
      <c r="A110" s="142" t="s">
        <v>106</v>
      </c>
      <c r="B110" s="12">
        <f>+SUM(B111:B115)</f>
        <v>902915.25976</v>
      </c>
      <c r="C110" s="12">
        <f>+SUM(C111:C115)</f>
        <v>1776301.2403700002</v>
      </c>
      <c r="D110" s="13">
        <f>+SUM(D111:D114)</f>
        <v>0</v>
      </c>
      <c r="E110" s="13">
        <f>+SUM(E111:E114)</f>
        <v>2340542.0608</v>
      </c>
    </row>
    <row r="111" spans="1:5" ht="15">
      <c r="A111" s="142" t="s">
        <v>107</v>
      </c>
      <c r="B111" s="13">
        <v>2651.02251</v>
      </c>
      <c r="C111" s="13">
        <v>303594.98405</v>
      </c>
      <c r="D111" s="13">
        <v>0</v>
      </c>
      <c r="E111" s="13">
        <f aca="true" t="shared" si="2" ref="E111:E117">SUM(B111:D111)</f>
        <v>306246.00656</v>
      </c>
    </row>
    <row r="112" spans="1:5" ht="15">
      <c r="A112" s="142" t="s">
        <v>108</v>
      </c>
      <c r="B112" s="13">
        <v>356490.70363000006</v>
      </c>
      <c r="C112" s="13">
        <v>1208808.6484400001</v>
      </c>
      <c r="D112" s="13">
        <v>0</v>
      </c>
      <c r="E112" s="13">
        <f t="shared" si="2"/>
        <v>1565299.3520700003</v>
      </c>
    </row>
    <row r="113" spans="1:5" ht="15">
      <c r="A113" s="142" t="s">
        <v>109</v>
      </c>
      <c r="B113" s="13">
        <v>404425.73858000006</v>
      </c>
      <c r="C113" s="13">
        <v>0</v>
      </c>
      <c r="D113" s="13">
        <v>0</v>
      </c>
      <c r="E113" s="13">
        <f t="shared" si="2"/>
        <v>404425.73858000006</v>
      </c>
    </row>
    <row r="114" spans="1:5" ht="15">
      <c r="A114" s="142" t="s">
        <v>110</v>
      </c>
      <c r="B114" s="13">
        <v>61693.831210000004</v>
      </c>
      <c r="C114" s="13">
        <v>2877.13238</v>
      </c>
      <c r="D114" s="13">
        <v>0</v>
      </c>
      <c r="E114" s="13">
        <f t="shared" si="2"/>
        <v>64570.96359000001</v>
      </c>
    </row>
    <row r="115" spans="1:5" ht="15">
      <c r="A115" s="142" t="s">
        <v>111</v>
      </c>
      <c r="B115" s="13">
        <v>77653.96383</v>
      </c>
      <c r="C115" s="13">
        <f>261020475.5/1000</f>
        <v>261020.4755</v>
      </c>
      <c r="D115" s="13">
        <v>0</v>
      </c>
      <c r="E115" s="13">
        <f t="shared" si="2"/>
        <v>338674.43932999996</v>
      </c>
    </row>
    <row r="116" spans="1:5" ht="15">
      <c r="A116" s="14" t="s">
        <v>112</v>
      </c>
      <c r="B116" s="13">
        <v>1813.16804</v>
      </c>
      <c r="C116" s="13">
        <v>13025.20435</v>
      </c>
      <c r="D116" s="13">
        <v>0</v>
      </c>
      <c r="E116" s="13">
        <f t="shared" si="2"/>
        <v>14838.37239</v>
      </c>
    </row>
    <row r="117" spans="1:5" ht="15">
      <c r="A117" s="14" t="s">
        <v>113</v>
      </c>
      <c r="B117" s="13">
        <v>1684.05978</v>
      </c>
      <c r="C117" s="13">
        <v>105.13795999999999</v>
      </c>
      <c r="D117" s="13">
        <v>0</v>
      </c>
      <c r="E117" s="13">
        <f t="shared" si="2"/>
        <v>1789.19774</v>
      </c>
    </row>
    <row r="118" spans="1:5" ht="15.75">
      <c r="A118" s="138" t="s">
        <v>114</v>
      </c>
      <c r="B118" s="17">
        <f>+B119+B122+B129</f>
        <v>808847.5053600001</v>
      </c>
      <c r="C118" s="17">
        <f>+C119+C122+C129</f>
        <v>202387.19718</v>
      </c>
      <c r="D118" s="17">
        <f>+D119+D122+D129</f>
        <v>0</v>
      </c>
      <c r="E118" s="17">
        <f>+E119+E122+E129</f>
        <v>1011234.7025400001</v>
      </c>
    </row>
    <row r="119" spans="1:5" ht="15.75">
      <c r="A119" s="14" t="s">
        <v>79</v>
      </c>
      <c r="B119" s="12">
        <f>+B120+B121</f>
        <v>11970.33751</v>
      </c>
      <c r="C119" s="12">
        <f>+C120+C121</f>
        <v>165121.94191999998</v>
      </c>
      <c r="D119" s="13">
        <f>+D120+D121</f>
        <v>0</v>
      </c>
      <c r="E119" s="13">
        <f>+E120+E121</f>
        <v>177092.27942999997</v>
      </c>
    </row>
    <row r="120" spans="1:5" ht="15">
      <c r="A120" s="14" t="s">
        <v>80</v>
      </c>
      <c r="B120" s="13">
        <v>5874.887</v>
      </c>
      <c r="C120" s="13">
        <v>0</v>
      </c>
      <c r="D120" s="13">
        <v>0</v>
      </c>
      <c r="E120" s="13">
        <f>SUM(B120:D120)</f>
        <v>5874.887</v>
      </c>
    </row>
    <row r="121" spans="1:5" ht="15">
      <c r="A121" s="14" t="s">
        <v>81</v>
      </c>
      <c r="B121" s="13">
        <v>6095.45051</v>
      </c>
      <c r="C121" s="13">
        <v>165121.94191999998</v>
      </c>
      <c r="D121" s="13">
        <v>0</v>
      </c>
      <c r="E121" s="13">
        <f>SUM(B121:D121)</f>
        <v>171217.39242999998</v>
      </c>
    </row>
    <row r="122" spans="1:5" ht="15.75">
      <c r="A122" s="14" t="s">
        <v>82</v>
      </c>
      <c r="B122" s="12">
        <f>+B123+B126+B127+B128</f>
        <v>796877.1678500001</v>
      </c>
      <c r="C122" s="12">
        <f>+C123+C126+C127+C128</f>
        <v>37265.25526</v>
      </c>
      <c r="D122" s="13">
        <f>+D123+D126+D127+D128</f>
        <v>0</v>
      </c>
      <c r="E122" s="13">
        <f>+E123+E126+E127+E128</f>
        <v>834142.4231100001</v>
      </c>
    </row>
    <row r="123" spans="1:5" ht="15.75">
      <c r="A123" s="14" t="s">
        <v>83</v>
      </c>
      <c r="B123" s="12">
        <f>SUM(B124:B125)</f>
        <v>214687.21475</v>
      </c>
      <c r="C123" s="12">
        <f>SUM(C124:C125)</f>
        <v>37140.25526</v>
      </c>
      <c r="D123" s="13">
        <v>0</v>
      </c>
      <c r="E123" s="13">
        <f aca="true" t="shared" si="3" ref="E123:E130">SUM(B123:D123)</f>
        <v>251827.47001000002</v>
      </c>
    </row>
    <row r="124" spans="1:5" ht="15">
      <c r="A124" s="14" t="s">
        <v>84</v>
      </c>
      <c r="B124" s="13">
        <v>0</v>
      </c>
      <c r="C124" s="13">
        <v>0</v>
      </c>
      <c r="D124" s="13">
        <v>0</v>
      </c>
      <c r="E124" s="13">
        <f t="shared" si="3"/>
        <v>0</v>
      </c>
    </row>
    <row r="125" spans="1:5" ht="15">
      <c r="A125" s="14" t="s">
        <v>85</v>
      </c>
      <c r="B125" s="13">
        <v>214687.21475</v>
      </c>
      <c r="C125" s="13">
        <v>37140.25526</v>
      </c>
      <c r="D125" s="13">
        <v>0</v>
      </c>
      <c r="E125" s="13">
        <f t="shared" si="3"/>
        <v>251827.47001000002</v>
      </c>
    </row>
    <row r="126" spans="1:5" ht="15">
      <c r="A126" s="14" t="s">
        <v>86</v>
      </c>
      <c r="B126" s="13">
        <v>0</v>
      </c>
      <c r="C126" s="13">
        <v>0</v>
      </c>
      <c r="D126" s="13">
        <v>0</v>
      </c>
      <c r="E126" s="13">
        <f t="shared" si="3"/>
        <v>0</v>
      </c>
    </row>
    <row r="127" spans="1:5" ht="15">
      <c r="A127" s="14" t="s">
        <v>87</v>
      </c>
      <c r="B127" s="13">
        <v>0</v>
      </c>
      <c r="C127" s="13">
        <v>0</v>
      </c>
      <c r="D127" s="13">
        <v>0</v>
      </c>
      <c r="E127" s="13">
        <f t="shared" si="3"/>
        <v>0</v>
      </c>
    </row>
    <row r="128" spans="1:5" ht="15">
      <c r="A128" s="14" t="s">
        <v>81</v>
      </c>
      <c r="B128" s="13">
        <v>582189.9531</v>
      </c>
      <c r="C128" s="157">
        <v>125</v>
      </c>
      <c r="D128" s="13">
        <v>0</v>
      </c>
      <c r="E128" s="13">
        <f t="shared" si="3"/>
        <v>582314.9531</v>
      </c>
    </row>
    <row r="129" spans="1:5" ht="15">
      <c r="A129" s="14" t="s">
        <v>88</v>
      </c>
      <c r="B129" s="13">
        <v>0</v>
      </c>
      <c r="C129" s="13">
        <v>0</v>
      </c>
      <c r="D129" s="13">
        <v>0</v>
      </c>
      <c r="E129" s="13">
        <f t="shared" si="3"/>
        <v>0</v>
      </c>
    </row>
    <row r="130" spans="1:5" ht="15.75">
      <c r="A130" s="14"/>
      <c r="B130" s="12"/>
      <c r="C130" s="12"/>
      <c r="D130" s="12">
        <v>0</v>
      </c>
      <c r="E130" s="12">
        <f t="shared" si="3"/>
        <v>0</v>
      </c>
    </row>
    <row r="131" spans="1:5" ht="15.75">
      <c r="A131" s="14" t="s">
        <v>115</v>
      </c>
      <c r="B131" s="17">
        <f>+B132+B133</f>
        <v>196996.085</v>
      </c>
      <c r="C131" s="17">
        <f>+C132+C133</f>
        <v>12325.861309999998</v>
      </c>
      <c r="D131" s="17">
        <f>+D132+D133</f>
        <v>0</v>
      </c>
      <c r="E131" s="17">
        <f>+E132+E133</f>
        <v>209321.94631</v>
      </c>
    </row>
    <row r="132" spans="1:5" ht="15">
      <c r="A132" s="14" t="s">
        <v>116</v>
      </c>
      <c r="B132" s="13"/>
      <c r="C132" s="13"/>
      <c r="D132" s="13">
        <v>0</v>
      </c>
      <c r="E132" s="13">
        <f>SUM(B132:D132)</f>
        <v>0</v>
      </c>
    </row>
    <row r="133" spans="1:5" ht="15.75" thickBot="1">
      <c r="A133" s="141" t="s">
        <v>117</v>
      </c>
      <c r="B133" s="13">
        <v>196996.085</v>
      </c>
      <c r="C133" s="13">
        <v>12325.861309999998</v>
      </c>
      <c r="D133" s="13">
        <v>0</v>
      </c>
      <c r="E133" s="13">
        <f>SUM(B133:D133)</f>
        <v>209321.94631</v>
      </c>
    </row>
    <row r="134" spans="1:5" ht="16.5" thickBot="1">
      <c r="A134" s="137" t="s">
        <v>118</v>
      </c>
      <c r="B134" s="10">
        <f>B11+B91</f>
        <v>20562461.94154</v>
      </c>
      <c r="C134" s="10">
        <f>C11+C91</f>
        <v>2115604.443</v>
      </c>
      <c r="D134" s="10">
        <f>D11+D91</f>
        <v>3776526.552508</v>
      </c>
      <c r="E134" s="10">
        <f>E11+E91</f>
        <v>26454592.937047996</v>
      </c>
    </row>
    <row r="135" spans="1:5" ht="16.5" thickBot="1">
      <c r="A135" s="137" t="s">
        <v>119</v>
      </c>
      <c r="B135" s="10">
        <f>B69+B105</f>
        <v>18988944.455169998</v>
      </c>
      <c r="C135" s="10">
        <f>C69+C105</f>
        <v>2904654.1400600006</v>
      </c>
      <c r="D135" s="10">
        <f>D69+D105</f>
        <v>4319592.899999999</v>
      </c>
      <c r="E135" s="10">
        <f>E69+E105</f>
        <v>26213191.49523</v>
      </c>
    </row>
    <row r="136" spans="1:5" ht="16.5" thickBot="1">
      <c r="A136" s="137" t="s">
        <v>120</v>
      </c>
      <c r="B136" s="10">
        <f>B135-B74</f>
        <v>18838715.31017</v>
      </c>
      <c r="C136" s="10">
        <f>C135-C74</f>
        <v>2904654.1400600006</v>
      </c>
      <c r="D136" s="10">
        <f>D135-D74</f>
        <v>4319592.899999999</v>
      </c>
      <c r="E136" s="10">
        <f>E135-E74</f>
        <v>26062962.35023</v>
      </c>
    </row>
    <row r="137" spans="1:5" ht="16.5" thickBot="1">
      <c r="A137" s="137" t="s">
        <v>121</v>
      </c>
      <c r="B137" s="10">
        <f>B134-B135</f>
        <v>1573517.486370001</v>
      </c>
      <c r="C137" s="10">
        <f>C134-C135</f>
        <v>-789049.6970600006</v>
      </c>
      <c r="D137" s="10">
        <f>D134-D135</f>
        <v>-543066.3474919996</v>
      </c>
      <c r="E137" s="10">
        <f>E134-E135</f>
        <v>241401.44181799516</v>
      </c>
    </row>
    <row r="138" spans="1:5" ht="15.75" thickBot="1">
      <c r="A138" s="4"/>
      <c r="B138" s="19"/>
      <c r="C138" s="19"/>
      <c r="D138" s="19"/>
      <c r="E138" s="19"/>
    </row>
    <row r="139" spans="1:5" ht="16.5" thickBot="1">
      <c r="A139" s="137" t="s">
        <v>122</v>
      </c>
      <c r="B139" s="10">
        <v>0</v>
      </c>
      <c r="C139" s="10">
        <v>721487.4880700001</v>
      </c>
      <c r="D139" s="10">
        <v>483842.83004000003</v>
      </c>
      <c r="E139" s="10">
        <f>B139+C139+D139</f>
        <v>1205330.31811</v>
      </c>
    </row>
    <row r="140" spans="1:5" ht="16.5" thickBot="1">
      <c r="A140" s="137" t="s">
        <v>123</v>
      </c>
      <c r="B140" s="10">
        <f>C139+D139</f>
        <v>1205330.31811</v>
      </c>
      <c r="C140" s="10">
        <v>0</v>
      </c>
      <c r="D140" s="10">
        <v>0</v>
      </c>
      <c r="E140" s="10">
        <f>B140+C140+D140</f>
        <v>1205330.31811</v>
      </c>
    </row>
    <row r="141" spans="1:5" ht="16.5" thickBot="1">
      <c r="A141" s="137" t="s">
        <v>124</v>
      </c>
      <c r="B141" s="10">
        <f>B134-B136</f>
        <v>1723746.6313700005</v>
      </c>
      <c r="C141" s="10">
        <f>C134-C136</f>
        <v>-789049.6970600006</v>
      </c>
      <c r="D141" s="10">
        <f>D134-D136</f>
        <v>-543066.3474919996</v>
      </c>
      <c r="E141" s="10">
        <f>E134-E136</f>
        <v>391630.5868179947</v>
      </c>
    </row>
    <row r="142" spans="1:5" ht="15.75" thickBot="1">
      <c r="A142" s="3"/>
      <c r="B142" s="21"/>
      <c r="C142" s="21"/>
      <c r="D142" s="21"/>
      <c r="E142" s="21"/>
    </row>
    <row r="143" spans="1:5" ht="19.5" thickBot="1">
      <c r="A143" s="158" t="s">
        <v>125</v>
      </c>
      <c r="B143" s="159">
        <f>B137+B139-B140</f>
        <v>368187.1682600009</v>
      </c>
      <c r="C143" s="159">
        <f>C137+C139-C140</f>
        <v>-67562.20899000054</v>
      </c>
      <c r="D143" s="159">
        <f>D137+D139-D140</f>
        <v>-59223.51745199959</v>
      </c>
      <c r="E143" s="159">
        <f>E137+E139-E140</f>
        <v>241401.44181799516</v>
      </c>
    </row>
    <row r="144" spans="1:5" ht="15.75" thickBot="1">
      <c r="A144" s="4" t="s">
        <v>126</v>
      </c>
      <c r="B144" s="19"/>
      <c r="C144" s="19"/>
      <c r="D144" s="19"/>
      <c r="E144" s="19"/>
    </row>
    <row r="145" spans="1:5" ht="16.5" thickBot="1">
      <c r="A145" s="143" t="s">
        <v>129</v>
      </c>
      <c r="B145" s="144">
        <f>B146+B152+B159</f>
        <v>20507055.423959997</v>
      </c>
      <c r="C145" s="144">
        <f>C146+C152+C159</f>
        <v>2958332.0976200006</v>
      </c>
      <c r="D145" s="144">
        <f>(D146+D152+D159)</f>
        <v>4292413.422049999</v>
      </c>
      <c r="E145" s="144">
        <f>E146+E152+E159</f>
        <v>27757800.943629995</v>
      </c>
    </row>
    <row r="146" spans="1:5" ht="15.75">
      <c r="A146" s="145" t="s">
        <v>98</v>
      </c>
      <c r="B146" s="146">
        <f>SUM(B147:B150)</f>
        <v>910163.96</v>
      </c>
      <c r="C146" s="146">
        <f>SUM(C147:C150)</f>
        <v>51543.25218999991</v>
      </c>
      <c r="D146" s="146">
        <f>SUM(D147:D150)</f>
        <v>0</v>
      </c>
      <c r="E146" s="146">
        <f>SUM(E147:E150)</f>
        <v>961707.2121899999</v>
      </c>
    </row>
    <row r="147" spans="1:5" ht="15.75" thickBot="1">
      <c r="A147" s="147" t="s">
        <v>130</v>
      </c>
      <c r="B147" s="13">
        <v>0</v>
      </c>
      <c r="C147" s="13">
        <v>0</v>
      </c>
      <c r="D147" s="13">
        <v>0</v>
      </c>
      <c r="E147" s="148">
        <f aca="true" t="shared" si="4" ref="E147:E159">SUM(B147:D147)</f>
        <v>0</v>
      </c>
    </row>
    <row r="148" spans="1:10" ht="16.5" thickBot="1">
      <c r="A148" s="147" t="s">
        <v>131</v>
      </c>
      <c r="B148" s="144">
        <v>338153.36</v>
      </c>
      <c r="C148" s="144">
        <v>51543.25218999991</v>
      </c>
      <c r="D148" s="13"/>
      <c r="E148" s="148">
        <f t="shared" si="4"/>
        <v>389696.6121899999</v>
      </c>
      <c r="F148" s="161">
        <f>B149+B153</f>
        <v>739836</v>
      </c>
      <c r="J148" s="23"/>
    </row>
    <row r="149" spans="1:9" ht="15">
      <c r="A149" s="147" t="s">
        <v>216</v>
      </c>
      <c r="B149" s="160">
        <v>572010.6</v>
      </c>
      <c r="C149" s="13">
        <v>0</v>
      </c>
      <c r="D149" s="13"/>
      <c r="E149" s="148">
        <f t="shared" si="4"/>
        <v>572010.6</v>
      </c>
      <c r="F149" s="23"/>
      <c r="I149" s="23"/>
    </row>
    <row r="150" spans="1:5" ht="15">
      <c r="A150" s="147" t="s">
        <v>345</v>
      </c>
      <c r="B150" s="13">
        <v>0</v>
      </c>
      <c r="C150" s="13">
        <v>0</v>
      </c>
      <c r="D150" s="13">
        <v>0</v>
      </c>
      <c r="E150" s="148">
        <f t="shared" si="4"/>
        <v>0</v>
      </c>
    </row>
    <row r="151" spans="1:5" ht="15">
      <c r="A151" s="147" t="s">
        <v>132</v>
      </c>
      <c r="B151" s="13">
        <v>0</v>
      </c>
      <c r="C151" s="13">
        <v>0</v>
      </c>
      <c r="D151" s="13">
        <v>0</v>
      </c>
      <c r="E151" s="148">
        <f t="shared" si="4"/>
        <v>0</v>
      </c>
    </row>
    <row r="152" spans="1:5" ht="15.75">
      <c r="A152" s="145" t="s">
        <v>133</v>
      </c>
      <c r="B152" s="149">
        <f>+SUM(B153:B158)</f>
        <v>19596891.463959996</v>
      </c>
      <c r="C152" s="149">
        <f>+SUM(C153:C158)</f>
        <v>2906788.8454300007</v>
      </c>
      <c r="D152" s="149">
        <f>SUM(D153:D158)</f>
        <v>4292413.422049999</v>
      </c>
      <c r="E152" s="149">
        <f>SUM(B152:D152)</f>
        <v>26796093.731439997</v>
      </c>
    </row>
    <row r="153" spans="1:5" ht="15">
      <c r="A153" s="147" t="s">
        <v>134</v>
      </c>
      <c r="B153" s="160">
        <v>167825.4</v>
      </c>
      <c r="C153" s="13">
        <v>0</v>
      </c>
      <c r="D153" s="13">
        <v>0</v>
      </c>
      <c r="E153" s="148">
        <f>SUM(B153:D153)</f>
        <v>167825.4</v>
      </c>
    </row>
    <row r="154" spans="1:5" ht="15">
      <c r="A154" s="147" t="s">
        <v>135</v>
      </c>
      <c r="B154" s="13">
        <v>60333.043939999996</v>
      </c>
      <c r="C154" s="13">
        <v>1517</v>
      </c>
      <c r="D154" s="13">
        <v>0</v>
      </c>
      <c r="E154" s="148">
        <f t="shared" si="4"/>
        <v>61850.043939999996</v>
      </c>
    </row>
    <row r="155" spans="1:5" ht="15">
      <c r="A155" s="147" t="s">
        <v>136</v>
      </c>
      <c r="B155" s="13">
        <v>0</v>
      </c>
      <c r="C155" s="13">
        <v>1541.30545</v>
      </c>
      <c r="D155" s="13">
        <v>0</v>
      </c>
      <c r="E155" s="148">
        <f t="shared" si="4"/>
        <v>1541.30545</v>
      </c>
    </row>
    <row r="156" spans="1:5" ht="15">
      <c r="A156" s="147" t="s">
        <v>351</v>
      </c>
      <c r="B156" s="13">
        <v>406044.44272</v>
      </c>
      <c r="C156" s="13">
        <v>0</v>
      </c>
      <c r="D156" s="13">
        <v>0</v>
      </c>
      <c r="E156" s="148">
        <f t="shared" si="4"/>
        <v>406044.44272</v>
      </c>
    </row>
    <row r="157" spans="1:5" ht="15">
      <c r="A157" s="147" t="s">
        <v>137</v>
      </c>
      <c r="B157" s="13">
        <f>B135-B60</f>
        <v>18962688.577299997</v>
      </c>
      <c r="C157" s="13">
        <f>C135-C60</f>
        <v>2903730.539980001</v>
      </c>
      <c r="D157" s="13">
        <f>D135-E60</f>
        <v>4292413.422049999</v>
      </c>
      <c r="E157" s="148">
        <f>SUM(B157:D157)</f>
        <v>26158832.53933</v>
      </c>
    </row>
    <row r="158" spans="1:5" ht="15">
      <c r="A158" s="150" t="s">
        <v>138</v>
      </c>
      <c r="B158" s="13">
        <v>0</v>
      </c>
      <c r="C158" s="13">
        <v>0</v>
      </c>
      <c r="D158" s="13">
        <v>0</v>
      </c>
      <c r="E158" s="148">
        <f t="shared" si="4"/>
        <v>0</v>
      </c>
    </row>
    <row r="159" spans="1:5" ht="16.5" thickBot="1">
      <c r="A159" s="145" t="s">
        <v>139</v>
      </c>
      <c r="B159" s="13">
        <v>0</v>
      </c>
      <c r="C159" s="13">
        <v>0</v>
      </c>
      <c r="D159" s="13"/>
      <c r="E159" s="148">
        <f t="shared" si="4"/>
        <v>0</v>
      </c>
    </row>
    <row r="160" spans="1:5" ht="16.5" thickBot="1">
      <c r="A160" s="151" t="s">
        <v>140</v>
      </c>
      <c r="B160" s="144">
        <f>B161+B167+B174</f>
        <v>2750298.6515500005</v>
      </c>
      <c r="C160" s="144">
        <f>C161+C167+C174</f>
        <v>171482.26434</v>
      </c>
      <c r="D160" s="144">
        <f>D161+D167+D174</f>
        <v>465692.14</v>
      </c>
      <c r="E160" s="144">
        <f>E161+E167+E174</f>
        <v>3387473.05589</v>
      </c>
    </row>
    <row r="161" spans="1:5" ht="15.75">
      <c r="A161" s="147" t="s">
        <v>141</v>
      </c>
      <c r="B161" s="146">
        <f>SUM(B162:B165)</f>
        <v>638616.2</v>
      </c>
      <c r="C161" s="146">
        <f>SUM(C162:C165)</f>
        <v>0</v>
      </c>
      <c r="D161" s="146">
        <f>SUM(D162:D165)</f>
        <v>204526.95</v>
      </c>
      <c r="E161" s="146">
        <f>SUM(E162:E165)</f>
        <v>843143.15</v>
      </c>
    </row>
    <row r="162" spans="1:5" ht="15">
      <c r="A162" s="147" t="s">
        <v>142</v>
      </c>
      <c r="B162" s="13">
        <v>0</v>
      </c>
      <c r="C162" s="13">
        <v>0</v>
      </c>
      <c r="D162" s="13">
        <v>0</v>
      </c>
      <c r="E162" s="148">
        <f>SUM(B162:D162)</f>
        <v>0</v>
      </c>
    </row>
    <row r="163" spans="1:5" ht="15.75">
      <c r="A163" s="147" t="s">
        <v>143</v>
      </c>
      <c r="B163" s="12">
        <v>0</v>
      </c>
      <c r="C163" s="13"/>
      <c r="D163" s="13">
        <v>204526.95</v>
      </c>
      <c r="E163" s="148">
        <f>SUM(B163:D163)</f>
        <v>204526.95</v>
      </c>
    </row>
    <row r="164" spans="1:5" ht="15">
      <c r="A164" s="147" t="s">
        <v>217</v>
      </c>
      <c r="B164" s="13">
        <v>398185.2</v>
      </c>
      <c r="C164" s="13"/>
      <c r="D164" s="13"/>
      <c r="E164" s="148">
        <f>SUM(B164:D164)</f>
        <v>398185.2</v>
      </c>
    </row>
    <row r="165" spans="1:5" ht="15">
      <c r="A165" s="147" t="s">
        <v>350</v>
      </c>
      <c r="B165" s="13">
        <v>240431</v>
      </c>
      <c r="C165" s="13">
        <v>0</v>
      </c>
      <c r="D165" s="13">
        <v>0</v>
      </c>
      <c r="E165" s="148">
        <f>SUM(B165:D165)</f>
        <v>240431</v>
      </c>
    </row>
    <row r="166" spans="1:5" ht="15">
      <c r="A166" s="147" t="s">
        <v>144</v>
      </c>
      <c r="B166" s="13">
        <v>0</v>
      </c>
      <c r="C166" s="13">
        <v>0</v>
      </c>
      <c r="D166" s="13">
        <v>0</v>
      </c>
      <c r="E166" s="148">
        <f>SUM(B166:D166)</f>
        <v>0</v>
      </c>
    </row>
    <row r="167" spans="1:5" ht="15.75">
      <c r="A167" s="150" t="s">
        <v>145</v>
      </c>
      <c r="B167" s="152">
        <f>SUM(B168:B173)</f>
        <v>2111682.4515500003</v>
      </c>
      <c r="C167" s="152">
        <f>SUM(C168:C173)</f>
        <v>171482.26434</v>
      </c>
      <c r="D167" s="152">
        <f>SUM(D168:D173)</f>
        <v>261165.19</v>
      </c>
      <c r="E167" s="152">
        <f>SUM(E168:E173)</f>
        <v>2544329.90589</v>
      </c>
    </row>
    <row r="168" spans="1:5" ht="15">
      <c r="A168" s="147" t="s">
        <v>146</v>
      </c>
      <c r="B168" s="13">
        <v>99797.3</v>
      </c>
      <c r="C168" s="13">
        <v>0</v>
      </c>
      <c r="D168" s="13">
        <v>0</v>
      </c>
      <c r="E168" s="148">
        <f aca="true" t="shared" si="5" ref="E168:E174">SUM(B168:D168)</f>
        <v>99797.3</v>
      </c>
    </row>
    <row r="169" spans="1:5" ht="15">
      <c r="A169" s="150" t="s">
        <v>147</v>
      </c>
      <c r="B169" s="13">
        <v>85667.66000000003</v>
      </c>
      <c r="C169" s="13">
        <v>0</v>
      </c>
      <c r="D169" s="13">
        <v>0</v>
      </c>
      <c r="E169" s="148">
        <f t="shared" si="5"/>
        <v>85667.66000000003</v>
      </c>
    </row>
    <row r="170" spans="1:5" ht="15">
      <c r="A170" s="150" t="s">
        <v>148</v>
      </c>
      <c r="B170" s="13">
        <v>156900.45400000003</v>
      </c>
      <c r="C170" s="13">
        <v>0</v>
      </c>
      <c r="D170" s="13">
        <v>0</v>
      </c>
      <c r="E170" s="148">
        <f t="shared" si="5"/>
        <v>156900.45400000003</v>
      </c>
    </row>
    <row r="171" spans="1:5" ht="15">
      <c r="A171" s="150" t="s">
        <v>149</v>
      </c>
      <c r="B171" s="13">
        <v>557696.3</v>
      </c>
      <c r="C171" s="13">
        <v>0</v>
      </c>
      <c r="D171" s="13">
        <v>0</v>
      </c>
      <c r="E171" s="148">
        <f>SUM(B171:D171)</f>
        <v>557696.3</v>
      </c>
    </row>
    <row r="172" spans="1:5" ht="15">
      <c r="A172" s="150" t="s">
        <v>150</v>
      </c>
      <c r="B172" s="13">
        <v>1211620.73755</v>
      </c>
      <c r="C172" s="13">
        <v>171482.26434</v>
      </c>
      <c r="D172" s="13">
        <v>261165.19</v>
      </c>
      <c r="E172" s="148">
        <f t="shared" si="5"/>
        <v>1644268.19189</v>
      </c>
    </row>
    <row r="173" spans="1:5" ht="15">
      <c r="A173" s="150" t="s">
        <v>151</v>
      </c>
      <c r="B173" s="13">
        <v>0</v>
      </c>
      <c r="C173" s="13">
        <v>0</v>
      </c>
      <c r="D173" s="13">
        <v>0</v>
      </c>
      <c r="E173" s="148">
        <f t="shared" si="5"/>
        <v>0</v>
      </c>
    </row>
    <row r="174" spans="1:5" ht="16.5" thickBot="1">
      <c r="A174" s="153" t="s">
        <v>152</v>
      </c>
      <c r="B174" s="13">
        <v>0</v>
      </c>
      <c r="C174" s="13">
        <v>0</v>
      </c>
      <c r="D174" s="13">
        <v>0</v>
      </c>
      <c r="E174" s="148">
        <f t="shared" si="5"/>
        <v>0</v>
      </c>
    </row>
    <row r="175" spans="1:5" ht="16.5" thickBot="1">
      <c r="A175" s="151" t="s">
        <v>153</v>
      </c>
      <c r="B175" s="144">
        <f>-B143-B145+B160</f>
        <v>-18124943.94067</v>
      </c>
      <c r="C175" s="144">
        <f>-C143-C145+C160</f>
        <v>-2719287.6242899997</v>
      </c>
      <c r="D175" s="144">
        <f>-D143-D145+D160</f>
        <v>-3767497.7645979994</v>
      </c>
      <c r="E175" s="144">
        <f>-E143-E145+E160</f>
        <v>-24611729.32955799</v>
      </c>
    </row>
    <row r="176" spans="1:5" ht="15">
      <c r="A176" s="22" t="s">
        <v>127</v>
      </c>
      <c r="B176" s="26"/>
      <c r="C176" s="26"/>
      <c r="D176" s="26"/>
      <c r="E176" s="26"/>
    </row>
    <row r="177" spans="1:5" ht="15">
      <c r="A177" s="22"/>
      <c r="B177" s="26"/>
      <c r="C177" s="26"/>
      <c r="D177" s="26"/>
      <c r="E177" s="26"/>
    </row>
  </sheetData>
  <sheetProtection/>
  <mergeCells count="1">
    <mergeCell ref="B6:E6"/>
  </mergeCells>
  <printOptions/>
  <pageMargins left="0.75" right="0.75" top="1" bottom="1" header="0" footer="0"/>
  <pageSetup orientation="landscape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72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49.8515625" style="0" bestFit="1" customWidth="1"/>
    <col min="2" max="2" width="17.57421875" style="30" bestFit="1" customWidth="1"/>
    <col min="3" max="3" width="16.57421875" style="30" bestFit="1" customWidth="1"/>
    <col min="4" max="4" width="16.7109375" style="30" bestFit="1" customWidth="1"/>
    <col min="5" max="5" width="12.00390625" style="34" bestFit="1" customWidth="1"/>
  </cols>
  <sheetData>
    <row r="1" spans="1:5" s="73" customFormat="1" ht="33.75" customHeight="1" thickBot="1">
      <c r="A1" s="165" t="s">
        <v>346</v>
      </c>
      <c r="B1" s="165"/>
      <c r="C1" s="165"/>
      <c r="D1" s="165"/>
      <c r="E1" s="165"/>
    </row>
    <row r="2" spans="1:5" ht="15.75">
      <c r="A2" s="166" t="s">
        <v>154</v>
      </c>
      <c r="B2" s="36" t="s">
        <v>155</v>
      </c>
      <c r="C2" s="36" t="s">
        <v>156</v>
      </c>
      <c r="D2" s="36" t="s">
        <v>128</v>
      </c>
      <c r="E2" s="168" t="s">
        <v>157</v>
      </c>
    </row>
    <row r="3" spans="1:5" s="27" customFormat="1" ht="16.5" thickBot="1">
      <c r="A3" s="167"/>
      <c r="B3" s="37" t="s">
        <v>158</v>
      </c>
      <c r="C3" s="37" t="s">
        <v>159</v>
      </c>
      <c r="D3" s="37" t="s">
        <v>160</v>
      </c>
      <c r="E3" s="169"/>
    </row>
    <row r="4" spans="1:5" ht="15">
      <c r="A4" s="38"/>
      <c r="B4" s="39"/>
      <c r="C4" s="40"/>
      <c r="D4" s="40"/>
      <c r="E4" s="41"/>
    </row>
    <row r="5" spans="1:5" ht="15.75">
      <c r="A5" s="42" t="s">
        <v>161</v>
      </c>
      <c r="B5" s="43">
        <v>1172</v>
      </c>
      <c r="C5" s="43">
        <v>32</v>
      </c>
      <c r="D5" s="43">
        <f>149+365</f>
        <v>514</v>
      </c>
      <c r="E5" s="44">
        <f>SUM(B5:D5)</f>
        <v>1718</v>
      </c>
    </row>
    <row r="6" spans="1:5" ht="15.75">
      <c r="A6" s="42" t="s">
        <v>162</v>
      </c>
      <c r="B6" s="43">
        <f>3380+295+70-C6</f>
        <v>3739</v>
      </c>
      <c r="C6" s="43">
        <v>6</v>
      </c>
      <c r="D6" s="43">
        <v>58</v>
      </c>
      <c r="E6" s="44">
        <f aca="true" t="shared" si="0" ref="E6:E65">SUM(B6:D6)</f>
        <v>3803</v>
      </c>
    </row>
    <row r="7" spans="1:5" ht="15.75">
      <c r="A7" s="42" t="s">
        <v>163</v>
      </c>
      <c r="B7" s="43">
        <f>13-C7</f>
        <v>12</v>
      </c>
      <c r="C7" s="43">
        <v>1</v>
      </c>
      <c r="D7" s="43">
        <v>0</v>
      </c>
      <c r="E7" s="44">
        <f t="shared" si="0"/>
        <v>13</v>
      </c>
    </row>
    <row r="8" spans="1:5" ht="15.75">
      <c r="A8" s="42" t="s">
        <v>164</v>
      </c>
      <c r="B8" s="43">
        <f>35-C8</f>
        <v>33</v>
      </c>
      <c r="C8" s="43">
        <v>2</v>
      </c>
      <c r="D8" s="43">
        <v>7</v>
      </c>
      <c r="E8" s="44">
        <f t="shared" si="0"/>
        <v>42</v>
      </c>
    </row>
    <row r="9" spans="1:5" ht="15.75">
      <c r="A9" s="42" t="s">
        <v>165</v>
      </c>
      <c r="B9" s="43">
        <f>263-C9</f>
        <v>257</v>
      </c>
      <c r="C9" s="43">
        <v>6</v>
      </c>
      <c r="D9" s="43">
        <v>6</v>
      </c>
      <c r="E9" s="44">
        <f t="shared" si="0"/>
        <v>269</v>
      </c>
    </row>
    <row r="10" spans="1:5" ht="15.75">
      <c r="A10" s="42" t="s">
        <v>166</v>
      </c>
      <c r="B10" s="43">
        <f>24-C10</f>
        <v>21</v>
      </c>
      <c r="C10" s="43">
        <v>3</v>
      </c>
      <c r="D10" s="43">
        <v>0</v>
      </c>
      <c r="E10" s="44">
        <f t="shared" si="0"/>
        <v>24</v>
      </c>
    </row>
    <row r="11" spans="1:5" ht="15.75">
      <c r="A11" s="42" t="s">
        <v>167</v>
      </c>
      <c r="B11" s="43">
        <f>102-C11</f>
        <v>101</v>
      </c>
      <c r="C11" s="43">
        <v>1</v>
      </c>
      <c r="D11" s="43">
        <v>0</v>
      </c>
      <c r="E11" s="44">
        <f t="shared" si="0"/>
        <v>102</v>
      </c>
    </row>
    <row r="12" spans="1:5" ht="15.75">
      <c r="A12" s="42" t="s">
        <v>168</v>
      </c>
      <c r="B12" s="43">
        <f>77-C12</f>
        <v>75</v>
      </c>
      <c r="C12" s="43">
        <v>2</v>
      </c>
      <c r="D12" s="43">
        <v>0</v>
      </c>
      <c r="E12" s="44">
        <f t="shared" si="0"/>
        <v>77</v>
      </c>
    </row>
    <row r="13" spans="1:5" ht="15.75">
      <c r="A13" s="42" t="s">
        <v>169</v>
      </c>
      <c r="B13" s="43">
        <f>66-C13</f>
        <v>64</v>
      </c>
      <c r="C13" s="43">
        <v>2</v>
      </c>
      <c r="D13" s="43">
        <v>0</v>
      </c>
      <c r="E13" s="44">
        <f t="shared" si="0"/>
        <v>66</v>
      </c>
    </row>
    <row r="14" spans="1:5" ht="15.75">
      <c r="A14" s="42" t="s">
        <v>170</v>
      </c>
      <c r="B14" s="43">
        <f>2-C14</f>
        <v>0</v>
      </c>
      <c r="C14" s="43">
        <v>2</v>
      </c>
      <c r="D14" s="43">
        <v>6</v>
      </c>
      <c r="E14" s="44">
        <f t="shared" si="0"/>
        <v>8</v>
      </c>
    </row>
    <row r="15" spans="1:5" ht="15.75">
      <c r="A15" s="45" t="s">
        <v>171</v>
      </c>
      <c r="B15" s="46">
        <f>SUM(B5:B14)</f>
        <v>5474</v>
      </c>
      <c r="C15" s="46">
        <f>SUM(C5:C14)</f>
        <v>57</v>
      </c>
      <c r="D15" s="46">
        <f>SUM(D5:D14)</f>
        <v>591</v>
      </c>
      <c r="E15" s="46">
        <f>SUM(E5:E14)</f>
        <v>6122</v>
      </c>
    </row>
    <row r="16" spans="1:5" s="28" customFormat="1" ht="15.75">
      <c r="A16" s="45" t="s">
        <v>172</v>
      </c>
      <c r="B16" s="46">
        <f>+B17+B48</f>
        <v>66752</v>
      </c>
      <c r="C16" s="46">
        <f>+C17+C48</f>
        <v>111</v>
      </c>
      <c r="D16" s="46">
        <f>+D17+D48</f>
        <v>473</v>
      </c>
      <c r="E16" s="46">
        <f t="shared" si="0"/>
        <v>67336</v>
      </c>
    </row>
    <row r="17" spans="1:5" s="28" customFormat="1" ht="15.75">
      <c r="A17" s="45" t="s">
        <v>173</v>
      </c>
      <c r="B17" s="46">
        <f>+B18+B19+B20+B21+B22+B24+B27+B28+B30+B45+B44+B46+B47+B29</f>
        <v>59865</v>
      </c>
      <c r="C17" s="46">
        <f>+C18+C19+C20+C21+C22+C24+C27+C28+C30+C45+C44+C46+C47+C29</f>
        <v>78</v>
      </c>
      <c r="D17" s="46">
        <f>+D18+D19+D20+D21+D22+D24+D27+D28+D30+D45+D44+D46+D47+D29</f>
        <v>261</v>
      </c>
      <c r="E17" s="46">
        <f>+E18+E19+E20+E21+E22+E24+E27+E28+E30+E45+E44+E46+E47+E29</f>
        <v>60204</v>
      </c>
    </row>
    <row r="18" spans="1:5" ht="15.75">
      <c r="A18" s="42" t="s">
        <v>174</v>
      </c>
      <c r="B18" s="43">
        <f>582-C18</f>
        <v>571</v>
      </c>
      <c r="C18" s="43">
        <v>11</v>
      </c>
      <c r="D18" s="43">
        <v>44</v>
      </c>
      <c r="E18" s="44">
        <f t="shared" si="0"/>
        <v>626</v>
      </c>
    </row>
    <row r="19" spans="1:5" s="29" customFormat="1" ht="15.75">
      <c r="A19" s="42" t="s">
        <v>175</v>
      </c>
      <c r="B19" s="43">
        <f>1050-C19</f>
        <v>1038</v>
      </c>
      <c r="C19" s="43">
        <v>12</v>
      </c>
      <c r="D19" s="43">
        <v>24</v>
      </c>
      <c r="E19" s="44">
        <f>SUM(B19:D19)</f>
        <v>1074</v>
      </c>
    </row>
    <row r="20" spans="1:5" ht="15.75">
      <c r="A20" s="42" t="s">
        <v>176</v>
      </c>
      <c r="B20" s="43">
        <f>125-C20</f>
        <v>122</v>
      </c>
      <c r="C20" s="43">
        <v>3</v>
      </c>
      <c r="D20" s="43">
        <v>13</v>
      </c>
      <c r="E20" s="44">
        <f t="shared" si="0"/>
        <v>138</v>
      </c>
    </row>
    <row r="21" spans="1:5" ht="15.75">
      <c r="A21" s="42" t="s">
        <v>177</v>
      </c>
      <c r="B21" s="43">
        <f>549-C21</f>
        <v>540</v>
      </c>
      <c r="C21" s="43">
        <v>9</v>
      </c>
      <c r="D21" s="43">
        <v>13</v>
      </c>
      <c r="E21" s="44">
        <f t="shared" si="0"/>
        <v>562</v>
      </c>
    </row>
    <row r="22" spans="1:5" ht="15.75">
      <c r="A22" s="42" t="s">
        <v>178</v>
      </c>
      <c r="B22" s="43">
        <f>10115-C22</f>
        <v>10110</v>
      </c>
      <c r="C22" s="43">
        <v>5</v>
      </c>
      <c r="D22" s="43">
        <f>75+14</f>
        <v>89</v>
      </c>
      <c r="E22" s="44">
        <f t="shared" si="0"/>
        <v>10204</v>
      </c>
    </row>
    <row r="23" spans="1:5" ht="15.75">
      <c r="A23" s="47" t="s">
        <v>179</v>
      </c>
      <c r="B23" s="43">
        <f>157-C23</f>
        <v>152</v>
      </c>
      <c r="C23" s="43">
        <v>5</v>
      </c>
      <c r="D23" s="43">
        <v>13</v>
      </c>
      <c r="E23" s="44">
        <f t="shared" si="0"/>
        <v>170</v>
      </c>
    </row>
    <row r="24" spans="1:5" s="28" customFormat="1" ht="15.75">
      <c r="A24" s="45" t="s">
        <v>180</v>
      </c>
      <c r="B24" s="46">
        <f>SUM(B25:B26)</f>
        <v>5733</v>
      </c>
      <c r="C24" s="46">
        <f>SUM(C25:C26)</f>
        <v>1</v>
      </c>
      <c r="D24" s="46">
        <f>SUM(D25:D26)</f>
        <v>0</v>
      </c>
      <c r="E24" s="46">
        <f>SUM(E25:E26)</f>
        <v>5734</v>
      </c>
    </row>
    <row r="25" spans="1:5" ht="15.75">
      <c r="A25" s="42" t="s">
        <v>181</v>
      </c>
      <c r="B25" s="43">
        <v>48</v>
      </c>
      <c r="C25" s="43">
        <v>1</v>
      </c>
      <c r="D25" s="43">
        <v>0</v>
      </c>
      <c r="E25" s="44">
        <f t="shared" si="0"/>
        <v>49</v>
      </c>
    </row>
    <row r="26" spans="1:5" ht="15.75">
      <c r="A26" s="42" t="s">
        <v>182</v>
      </c>
      <c r="B26" s="43">
        <v>5685</v>
      </c>
      <c r="C26" s="43">
        <v>0</v>
      </c>
      <c r="D26" s="43"/>
      <c r="E26" s="44">
        <f t="shared" si="0"/>
        <v>5685</v>
      </c>
    </row>
    <row r="27" spans="1:5" ht="15.75">
      <c r="A27" s="42" t="s">
        <v>183</v>
      </c>
      <c r="B27" s="43">
        <f>821-C27</f>
        <v>815</v>
      </c>
      <c r="C27" s="43">
        <v>6</v>
      </c>
      <c r="D27" s="43">
        <v>14</v>
      </c>
      <c r="E27" s="44">
        <f t="shared" si="0"/>
        <v>835</v>
      </c>
    </row>
    <row r="28" spans="1:5" ht="15.75">
      <c r="A28" s="42" t="s">
        <v>184</v>
      </c>
      <c r="B28" s="43">
        <f>1801-C28</f>
        <v>1792</v>
      </c>
      <c r="C28" s="43">
        <v>9</v>
      </c>
      <c r="D28" s="43">
        <v>18</v>
      </c>
      <c r="E28" s="44">
        <f t="shared" si="0"/>
        <v>1819</v>
      </c>
    </row>
    <row r="29" spans="1:5" ht="15.75">
      <c r="A29" s="42" t="s">
        <v>185</v>
      </c>
      <c r="B29" s="43">
        <f>825-C29</f>
        <v>822</v>
      </c>
      <c r="C29" s="43">
        <v>3</v>
      </c>
      <c r="D29" s="43">
        <v>12</v>
      </c>
      <c r="E29" s="44">
        <f t="shared" si="0"/>
        <v>837</v>
      </c>
    </row>
    <row r="30" spans="1:5" s="28" customFormat="1" ht="15.75">
      <c r="A30" s="45" t="s">
        <v>186</v>
      </c>
      <c r="B30" s="46">
        <f>SUM(B31:B32)</f>
        <v>37314</v>
      </c>
      <c r="C30" s="46">
        <f>SUM(C31:C32)</f>
        <v>7</v>
      </c>
      <c r="D30" s="46">
        <f>SUM(D31:D32)</f>
        <v>24</v>
      </c>
      <c r="E30" s="46">
        <f>SUM(E31:E32)</f>
        <v>37345</v>
      </c>
    </row>
    <row r="31" spans="1:5" ht="15.75">
      <c r="A31" s="48" t="s">
        <v>187</v>
      </c>
      <c r="B31" s="43">
        <v>3883</v>
      </c>
      <c r="C31" s="43">
        <v>7</v>
      </c>
      <c r="D31" s="43">
        <v>24</v>
      </c>
      <c r="E31" s="44">
        <f t="shared" si="0"/>
        <v>3914</v>
      </c>
    </row>
    <row r="32" spans="1:5" ht="15.75">
      <c r="A32" s="48" t="s">
        <v>188</v>
      </c>
      <c r="B32" s="46">
        <f>SUM(B33:B35)</f>
        <v>33431</v>
      </c>
      <c r="C32" s="43">
        <v>0</v>
      </c>
      <c r="D32" s="43"/>
      <c r="E32" s="46">
        <f t="shared" si="0"/>
        <v>33431</v>
      </c>
    </row>
    <row r="33" spans="1:5" ht="15.75">
      <c r="A33" s="42" t="s">
        <v>189</v>
      </c>
      <c r="B33" s="43">
        <v>13997</v>
      </c>
      <c r="C33" s="43"/>
      <c r="D33" s="43"/>
      <c r="E33" s="44"/>
    </row>
    <row r="34" spans="1:5" ht="15.75">
      <c r="A34" s="42" t="s">
        <v>190</v>
      </c>
      <c r="B34" s="43">
        <v>10163</v>
      </c>
      <c r="C34" s="43"/>
      <c r="D34" s="43"/>
      <c r="E34" s="44"/>
    </row>
    <row r="35" spans="1:5" ht="15.75">
      <c r="A35" s="42" t="s">
        <v>191</v>
      </c>
      <c r="B35" s="43">
        <v>9271</v>
      </c>
      <c r="C35" s="43"/>
      <c r="D35" s="43"/>
      <c r="E35" s="44"/>
    </row>
    <row r="36" spans="1:5" ht="15.75">
      <c r="A36" s="42" t="s">
        <v>192</v>
      </c>
      <c r="B36" s="46">
        <f>SUM(B37:B39)</f>
        <v>248915</v>
      </c>
      <c r="C36" s="43">
        <v>0</v>
      </c>
      <c r="D36" s="43"/>
      <c r="E36" s="46">
        <f t="shared" si="0"/>
        <v>248915</v>
      </c>
    </row>
    <row r="37" spans="1:5" ht="15.75">
      <c r="A37" s="42" t="s">
        <v>189</v>
      </c>
      <c r="B37" s="43">
        <v>104150</v>
      </c>
      <c r="C37" s="43"/>
      <c r="D37" s="43"/>
      <c r="E37" s="44"/>
    </row>
    <row r="38" spans="1:5" ht="15.75">
      <c r="A38" s="42" t="s">
        <v>190</v>
      </c>
      <c r="B38" s="43">
        <v>90372</v>
      </c>
      <c r="C38" s="43"/>
      <c r="D38" s="43"/>
      <c r="E38" s="44"/>
    </row>
    <row r="39" spans="1:5" ht="15.75">
      <c r="A39" s="42" t="s">
        <v>191</v>
      </c>
      <c r="B39" s="43">
        <v>54393</v>
      </c>
      <c r="C39" s="43"/>
      <c r="D39" s="43"/>
      <c r="E39" s="44"/>
    </row>
    <row r="40" spans="1:7" ht="15.75">
      <c r="A40" s="42" t="s">
        <v>311</v>
      </c>
      <c r="B40" s="46">
        <f>SUM(B41:B43)</f>
        <v>33564</v>
      </c>
      <c r="C40" s="43">
        <v>0</v>
      </c>
      <c r="D40" s="43"/>
      <c r="E40" s="46">
        <f t="shared" si="0"/>
        <v>33564</v>
      </c>
      <c r="G40" s="30"/>
    </row>
    <row r="41" spans="1:7" ht="15.75">
      <c r="A41" s="42" t="s">
        <v>189</v>
      </c>
      <c r="B41" s="43">
        <v>10803</v>
      </c>
      <c r="C41" s="43"/>
      <c r="D41" s="43"/>
      <c r="E41" s="44"/>
      <c r="G41" s="30"/>
    </row>
    <row r="42" spans="1:7" ht="15.75">
      <c r="A42" s="42" t="s">
        <v>190</v>
      </c>
      <c r="B42" s="43">
        <v>13774</v>
      </c>
      <c r="C42" s="43"/>
      <c r="D42" s="43"/>
      <c r="E42" s="44"/>
      <c r="G42" s="30"/>
    </row>
    <row r="43" spans="1:7" ht="15.75">
      <c r="A43" s="42" t="s">
        <v>191</v>
      </c>
      <c r="B43" s="43">
        <v>8987</v>
      </c>
      <c r="C43" s="43"/>
      <c r="D43" s="43"/>
      <c r="E43" s="44"/>
      <c r="G43" s="30"/>
    </row>
    <row r="44" spans="1:7" ht="15.75">
      <c r="A44" s="42" t="s">
        <v>193</v>
      </c>
      <c r="B44" s="43">
        <f>61-C44</f>
        <v>57</v>
      </c>
      <c r="C44" s="43">
        <v>4</v>
      </c>
      <c r="D44" s="43">
        <v>9</v>
      </c>
      <c r="E44" s="44">
        <f t="shared" si="0"/>
        <v>70</v>
      </c>
      <c r="G44" s="30"/>
    </row>
    <row r="45" spans="1:7" ht="15.75">
      <c r="A45" s="42" t="s">
        <v>194</v>
      </c>
      <c r="B45" s="43">
        <f>28-C45</f>
        <v>25</v>
      </c>
      <c r="C45" s="43">
        <v>3</v>
      </c>
      <c r="D45" s="43">
        <v>1</v>
      </c>
      <c r="E45" s="44">
        <f t="shared" si="0"/>
        <v>29</v>
      </c>
      <c r="G45" s="30"/>
    </row>
    <row r="46" spans="1:7" ht="15.75">
      <c r="A46" s="42" t="s">
        <v>195</v>
      </c>
      <c r="B46" s="43">
        <v>901</v>
      </c>
      <c r="C46" s="43">
        <v>2</v>
      </c>
      <c r="D46" s="43">
        <v>0</v>
      </c>
      <c r="E46" s="44">
        <f t="shared" si="0"/>
        <v>903</v>
      </c>
      <c r="G46" s="30"/>
    </row>
    <row r="47" spans="1:7" ht="15.75">
      <c r="A47" s="42" t="s">
        <v>196</v>
      </c>
      <c r="B47" s="43">
        <f>28-C47</f>
        <v>25</v>
      </c>
      <c r="C47" s="43">
        <v>3</v>
      </c>
      <c r="D47" s="43">
        <v>0</v>
      </c>
      <c r="E47" s="44">
        <f t="shared" si="0"/>
        <v>28</v>
      </c>
      <c r="G47" s="30"/>
    </row>
    <row r="48" spans="1:11" s="28" customFormat="1" ht="15.75">
      <c r="A48" s="45" t="s">
        <v>197</v>
      </c>
      <c r="B48" s="46">
        <f>SUM(B49:B59)</f>
        <v>6887</v>
      </c>
      <c r="C48" s="46">
        <f>SUM(C49:C59)</f>
        <v>33</v>
      </c>
      <c r="D48" s="46">
        <f>SUM(D49:D59)</f>
        <v>212</v>
      </c>
      <c r="E48" s="46">
        <f>SUM(E49:E59)</f>
        <v>7132</v>
      </c>
      <c r="I48" s="31"/>
      <c r="J48" s="20"/>
      <c r="K48" s="20"/>
    </row>
    <row r="49" spans="1:11" ht="15.75">
      <c r="A49" s="42" t="s">
        <v>198</v>
      </c>
      <c r="B49" s="43">
        <f>406-C49</f>
        <v>403</v>
      </c>
      <c r="C49" s="43">
        <v>3</v>
      </c>
      <c r="D49" s="43">
        <v>8</v>
      </c>
      <c r="E49" s="44">
        <f t="shared" si="0"/>
        <v>414</v>
      </c>
      <c r="G49" s="30"/>
      <c r="I49" s="24"/>
      <c r="J49" s="24"/>
      <c r="K49" s="24"/>
    </row>
    <row r="50" spans="1:6" ht="15.75">
      <c r="A50" s="42" t="s">
        <v>199</v>
      </c>
      <c r="B50" s="43">
        <f>631-C50</f>
        <v>629</v>
      </c>
      <c r="C50" s="43">
        <v>2</v>
      </c>
      <c r="D50" s="43">
        <v>148</v>
      </c>
      <c r="E50" s="44">
        <f t="shared" si="0"/>
        <v>779</v>
      </c>
      <c r="F50" s="30"/>
    </row>
    <row r="51" spans="1:5" ht="15.75">
      <c r="A51" s="42" t="s">
        <v>200</v>
      </c>
      <c r="B51" s="43">
        <f>168-C51</f>
        <v>164</v>
      </c>
      <c r="C51" s="43">
        <v>4</v>
      </c>
      <c r="D51" s="43">
        <v>6</v>
      </c>
      <c r="E51" s="44">
        <f t="shared" si="0"/>
        <v>174</v>
      </c>
    </row>
    <row r="52" spans="1:5" ht="15.75">
      <c r="A52" s="42" t="s">
        <v>201</v>
      </c>
      <c r="B52" s="43">
        <v>6</v>
      </c>
      <c r="C52" s="43">
        <v>0</v>
      </c>
      <c r="D52" s="43">
        <v>0</v>
      </c>
      <c r="E52" s="44">
        <f t="shared" si="0"/>
        <v>6</v>
      </c>
    </row>
    <row r="53" spans="1:5" ht="15.75">
      <c r="A53" s="42" t="s">
        <v>202</v>
      </c>
      <c r="B53" s="43">
        <f>4883-C53</f>
        <v>4880</v>
      </c>
      <c r="C53" s="43">
        <v>3</v>
      </c>
      <c r="D53" s="43">
        <v>4</v>
      </c>
      <c r="E53" s="44">
        <f t="shared" si="0"/>
        <v>4887</v>
      </c>
    </row>
    <row r="54" spans="1:5" ht="15.75">
      <c r="A54" s="42" t="s">
        <v>203</v>
      </c>
      <c r="B54" s="43">
        <f>143-C54</f>
        <v>136</v>
      </c>
      <c r="C54" s="43">
        <v>7</v>
      </c>
      <c r="D54" s="43">
        <v>3</v>
      </c>
      <c r="E54" s="44">
        <f t="shared" si="0"/>
        <v>146</v>
      </c>
    </row>
    <row r="55" spans="1:5" ht="15.75">
      <c r="A55" s="42" t="s">
        <v>204</v>
      </c>
      <c r="B55" s="43">
        <f>279-C55</f>
        <v>275</v>
      </c>
      <c r="C55" s="43">
        <v>4</v>
      </c>
      <c r="D55" s="43">
        <f>29+6</f>
        <v>35</v>
      </c>
      <c r="E55" s="44">
        <f t="shared" si="0"/>
        <v>314</v>
      </c>
    </row>
    <row r="56" spans="1:5" ht="15.75">
      <c r="A56" s="42" t="s">
        <v>205</v>
      </c>
      <c r="B56" s="43">
        <f>331-C56</f>
        <v>329</v>
      </c>
      <c r="C56" s="43">
        <v>2</v>
      </c>
      <c r="D56" s="43">
        <v>1</v>
      </c>
      <c r="E56" s="44">
        <f aca="true" t="shared" si="1" ref="E56:E62">SUM(B56:D56)</f>
        <v>332</v>
      </c>
    </row>
    <row r="57" spans="1:5" ht="15.75">
      <c r="A57" s="42" t="s">
        <v>206</v>
      </c>
      <c r="B57" s="43">
        <f>5-C57</f>
        <v>0</v>
      </c>
      <c r="C57" s="43">
        <v>5</v>
      </c>
      <c r="D57" s="43">
        <v>3</v>
      </c>
      <c r="E57" s="44">
        <f t="shared" si="1"/>
        <v>8</v>
      </c>
    </row>
    <row r="58" spans="1:5" ht="15.75">
      <c r="A58" s="42" t="s">
        <v>207</v>
      </c>
      <c r="B58" s="43">
        <f>51-C58</f>
        <v>50</v>
      </c>
      <c r="C58" s="43">
        <v>1</v>
      </c>
      <c r="D58" s="43">
        <v>0</v>
      </c>
      <c r="E58" s="44">
        <f t="shared" si="1"/>
        <v>51</v>
      </c>
    </row>
    <row r="59" spans="1:5" ht="15.75">
      <c r="A59" s="42" t="s">
        <v>208</v>
      </c>
      <c r="B59" s="43">
        <f>17-C59</f>
        <v>15</v>
      </c>
      <c r="C59" s="43">
        <v>2</v>
      </c>
      <c r="D59" s="43">
        <v>4</v>
      </c>
      <c r="E59" s="44">
        <f t="shared" si="1"/>
        <v>21</v>
      </c>
    </row>
    <row r="60" spans="1:5" ht="15.75">
      <c r="A60" s="42" t="s">
        <v>209</v>
      </c>
      <c r="B60" s="43">
        <v>0</v>
      </c>
      <c r="C60" s="43">
        <v>2</v>
      </c>
      <c r="D60" s="43">
        <v>0</v>
      </c>
      <c r="E60" s="44">
        <f t="shared" si="1"/>
        <v>2</v>
      </c>
    </row>
    <row r="61" spans="1:5" ht="15.75">
      <c r="A61" s="42" t="s">
        <v>210</v>
      </c>
      <c r="B61" s="43">
        <f>10-C61</f>
        <v>8</v>
      </c>
      <c r="C61" s="43">
        <v>2</v>
      </c>
      <c r="D61" s="43">
        <v>1</v>
      </c>
      <c r="E61" s="44">
        <f t="shared" si="1"/>
        <v>11</v>
      </c>
    </row>
    <row r="62" spans="1:5" ht="15.75">
      <c r="A62" s="42" t="s">
        <v>312</v>
      </c>
      <c r="B62" s="43">
        <v>1</v>
      </c>
      <c r="C62" s="43">
        <v>0</v>
      </c>
      <c r="D62" s="43">
        <v>0</v>
      </c>
      <c r="E62" s="44">
        <f t="shared" si="1"/>
        <v>1</v>
      </c>
    </row>
    <row r="63" spans="1:5" s="32" customFormat="1" ht="15.75">
      <c r="A63" s="49" t="s">
        <v>211</v>
      </c>
      <c r="B63" s="50">
        <f>+B15+B16</f>
        <v>72226</v>
      </c>
      <c r="C63" s="50">
        <f>+C15+C16</f>
        <v>168</v>
      </c>
      <c r="D63" s="50">
        <f>+D15+D16</f>
        <v>1064</v>
      </c>
      <c r="E63" s="50">
        <f t="shared" si="0"/>
        <v>73458</v>
      </c>
    </row>
    <row r="64" spans="1:5" s="33" customFormat="1" ht="15.75">
      <c r="A64" s="49" t="s">
        <v>212</v>
      </c>
      <c r="B64" s="50">
        <f>SUM(B65:B65)</f>
        <v>156</v>
      </c>
      <c r="C64" s="50">
        <f>SUM(C65:C65)</f>
        <v>4</v>
      </c>
      <c r="D64" s="50">
        <f>SUM(D65:D65)</f>
        <v>7</v>
      </c>
      <c r="E64" s="44">
        <f t="shared" si="0"/>
        <v>167</v>
      </c>
    </row>
    <row r="65" spans="1:5" s="33" customFormat="1" ht="15.75">
      <c r="A65" s="51" t="s">
        <v>213</v>
      </c>
      <c r="B65" s="43">
        <f>160-C65</f>
        <v>156</v>
      </c>
      <c r="C65" s="43">
        <v>4</v>
      </c>
      <c r="D65" s="52">
        <v>7</v>
      </c>
      <c r="E65" s="44">
        <f t="shared" si="0"/>
        <v>167</v>
      </c>
    </row>
    <row r="66" spans="2:5" ht="15.75" thickBot="1">
      <c r="B66" s="53"/>
      <c r="C66" s="53"/>
      <c r="D66" s="54"/>
      <c r="E66" s="55"/>
    </row>
    <row r="67" spans="1:5" s="27" customFormat="1" ht="16.5" thickBot="1">
      <c r="A67" s="56" t="s">
        <v>186</v>
      </c>
      <c r="B67" s="57"/>
      <c r="C67" s="57"/>
      <c r="D67" s="58"/>
      <c r="E67" s="57"/>
    </row>
    <row r="68" spans="1:5" ht="16.5" thickBot="1">
      <c r="A68" s="59" t="s">
        <v>214</v>
      </c>
      <c r="B68" s="60"/>
      <c r="C68" s="61"/>
      <c r="D68" s="61"/>
      <c r="E68" s="62">
        <f>+E36</f>
        <v>248915</v>
      </c>
    </row>
    <row r="70" ht="12.75">
      <c r="A70" t="s">
        <v>215</v>
      </c>
    </row>
    <row r="71" ht="12.75">
      <c r="A71" t="s">
        <v>313</v>
      </c>
    </row>
    <row r="72" ht="12.75">
      <c r="A72" t="s">
        <v>314</v>
      </c>
    </row>
  </sheetData>
  <sheetProtection/>
  <mergeCells count="3">
    <mergeCell ref="A1:E1"/>
    <mergeCell ref="A2:A3"/>
    <mergeCell ref="E2:E3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61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3.57421875" style="71" bestFit="1" customWidth="1"/>
    <col min="2" max="2" width="40.421875" style="66" bestFit="1" customWidth="1"/>
    <col min="3" max="3" width="16.140625" style="66" bestFit="1" customWidth="1"/>
    <col min="4" max="4" width="17.57421875" style="66" customWidth="1"/>
    <col min="5" max="6" width="16.140625" style="66" bestFit="1" customWidth="1"/>
    <col min="7" max="7" width="8.57421875" style="66" customWidth="1"/>
    <col min="8" max="8" width="15.00390625" style="66" bestFit="1" customWidth="1"/>
    <col min="9" max="9" width="16.57421875" style="66" bestFit="1" customWidth="1"/>
    <col min="10" max="10" width="14.7109375" style="66" bestFit="1" customWidth="1"/>
    <col min="11" max="16384" width="11.421875" style="66" customWidth="1"/>
  </cols>
  <sheetData>
    <row r="1" spans="1:10" s="72" customFormat="1" ht="18.75" thickBot="1">
      <c r="A1" s="170" t="s">
        <v>347</v>
      </c>
      <c r="B1" s="170"/>
      <c r="C1" s="170"/>
      <c r="D1" s="170"/>
      <c r="E1" s="170"/>
      <c r="F1" s="170"/>
      <c r="G1" s="170"/>
      <c r="H1" s="170"/>
      <c r="I1" s="170"/>
      <c r="J1" s="74"/>
    </row>
    <row r="2" spans="1:10" ht="22.5" customHeight="1">
      <c r="A2" s="75"/>
      <c r="B2" s="76"/>
      <c r="C2" s="77" t="s">
        <v>317</v>
      </c>
      <c r="D2" s="78"/>
      <c r="E2" s="79" t="s">
        <v>318</v>
      </c>
      <c r="F2" s="80" t="s">
        <v>220</v>
      </c>
      <c r="G2" s="81" t="s">
        <v>319</v>
      </c>
      <c r="H2" s="81" t="s">
        <v>320</v>
      </c>
      <c r="I2" s="81" t="s">
        <v>321</v>
      </c>
      <c r="J2" s="82" t="s">
        <v>322</v>
      </c>
    </row>
    <row r="3" spans="1:10" ht="15">
      <c r="A3" s="171" t="s">
        <v>323</v>
      </c>
      <c r="B3" s="172"/>
      <c r="C3" s="83" t="s">
        <v>324</v>
      </c>
      <c r="D3" s="84" t="s">
        <v>325</v>
      </c>
      <c r="E3" s="85" t="s">
        <v>326</v>
      </c>
      <c r="F3" s="85" t="s">
        <v>327</v>
      </c>
      <c r="G3" s="86" t="s">
        <v>328</v>
      </c>
      <c r="H3" s="84" t="s">
        <v>329</v>
      </c>
      <c r="I3" s="84" t="s">
        <v>330</v>
      </c>
      <c r="J3" s="87" t="s">
        <v>348</v>
      </c>
    </row>
    <row r="4" spans="1:10" ht="15">
      <c r="A4" s="88"/>
      <c r="B4" s="89"/>
      <c r="C4" s="90"/>
      <c r="D4" s="91"/>
      <c r="E4" s="85" t="s">
        <v>331</v>
      </c>
      <c r="F4" s="85" t="s">
        <v>332</v>
      </c>
      <c r="G4" s="86" t="s">
        <v>333</v>
      </c>
      <c r="H4" s="84" t="s">
        <v>334</v>
      </c>
      <c r="I4" s="84" t="s">
        <v>335</v>
      </c>
      <c r="J4" s="87" t="s">
        <v>336</v>
      </c>
    </row>
    <row r="5" spans="1:10" ht="15.75" thickBot="1">
      <c r="A5" s="92"/>
      <c r="B5" s="93" t="s">
        <v>337</v>
      </c>
      <c r="C5" s="94" t="s">
        <v>338</v>
      </c>
      <c r="D5" s="95" t="s">
        <v>339</v>
      </c>
      <c r="E5" s="95" t="s">
        <v>340</v>
      </c>
      <c r="F5" s="95" t="s">
        <v>341</v>
      </c>
      <c r="G5" s="96"/>
      <c r="H5" s="95" t="s">
        <v>342</v>
      </c>
      <c r="I5" s="95" t="s">
        <v>343</v>
      </c>
      <c r="J5" s="97"/>
    </row>
    <row r="6" spans="1:10" s="67" customFormat="1" ht="15" customHeight="1">
      <c r="A6" s="98" t="s">
        <v>221</v>
      </c>
      <c r="B6" s="99" t="s">
        <v>222</v>
      </c>
      <c r="C6" s="100">
        <v>53677982.15</v>
      </c>
      <c r="D6" s="100">
        <v>50033618.39</v>
      </c>
      <c r="E6" s="100">
        <v>103711600.54</v>
      </c>
      <c r="F6" s="100">
        <v>23542747.32</v>
      </c>
      <c r="G6" s="100"/>
      <c r="H6" s="100">
        <v>2766256.04</v>
      </c>
      <c r="I6" s="100">
        <v>130020603.90000004</v>
      </c>
      <c r="J6" s="101">
        <v>4243411.860000006</v>
      </c>
    </row>
    <row r="7" spans="1:10" ht="15">
      <c r="A7" s="102" t="s">
        <v>223</v>
      </c>
      <c r="B7" s="103" t="s">
        <v>224</v>
      </c>
      <c r="C7" s="104">
        <v>11515216.51</v>
      </c>
      <c r="D7" s="104">
        <v>13515902.72</v>
      </c>
      <c r="E7" s="104">
        <v>25031119.23</v>
      </c>
      <c r="F7" s="104">
        <v>5549589.84</v>
      </c>
      <c r="G7" s="104">
        <v>22.170761878473144</v>
      </c>
      <c r="H7" s="104">
        <v>636440</v>
      </c>
      <c r="I7" s="104">
        <v>31217149.07</v>
      </c>
      <c r="J7" s="105">
        <v>967848.2400000021</v>
      </c>
    </row>
    <row r="8" spans="1:10" ht="15">
      <c r="A8" s="102" t="s">
        <v>225</v>
      </c>
      <c r="B8" s="103" t="s">
        <v>226</v>
      </c>
      <c r="C8" s="104">
        <v>1245554.19</v>
      </c>
      <c r="D8" s="104">
        <v>1858387.98</v>
      </c>
      <c r="E8" s="104">
        <v>3103942.17</v>
      </c>
      <c r="F8" s="104">
        <v>1245554.19</v>
      </c>
      <c r="G8" s="104">
        <v>40.128137761020206</v>
      </c>
      <c r="H8" s="104">
        <v>98195</v>
      </c>
      <c r="I8" s="104">
        <v>4447691.359999999</v>
      </c>
      <c r="J8" s="105">
        <v>584562.5399999991</v>
      </c>
    </row>
    <row r="9" spans="1:10" ht="14.25" customHeight="1">
      <c r="A9" s="102" t="s">
        <v>227</v>
      </c>
      <c r="B9" s="103" t="s">
        <v>228</v>
      </c>
      <c r="C9" s="104">
        <v>3479162.7</v>
      </c>
      <c r="D9" s="104">
        <v>3734660.35</v>
      </c>
      <c r="E9" s="104">
        <v>7213823.050000001</v>
      </c>
      <c r="F9" s="104">
        <v>1494420.19</v>
      </c>
      <c r="G9" s="104">
        <v>20.716063862974845</v>
      </c>
      <c r="H9" s="104">
        <v>148668</v>
      </c>
      <c r="I9" s="104">
        <v>8856911.24</v>
      </c>
      <c r="J9" s="105">
        <v>859048.0700000003</v>
      </c>
    </row>
    <row r="10" spans="1:10" ht="15">
      <c r="A10" s="102" t="s">
        <v>229</v>
      </c>
      <c r="B10" s="103" t="s">
        <v>230</v>
      </c>
      <c r="C10" s="104">
        <v>32903637.04</v>
      </c>
      <c r="D10" s="104">
        <v>25844344.52</v>
      </c>
      <c r="E10" s="104">
        <v>58747981.56</v>
      </c>
      <c r="F10" s="104">
        <v>12834812.2</v>
      </c>
      <c r="G10" s="104">
        <v>21.84723944411887</v>
      </c>
      <c r="H10" s="104">
        <v>1680820.04</v>
      </c>
      <c r="I10" s="104">
        <v>73263613.80000001</v>
      </c>
      <c r="J10" s="105">
        <v>1768413.5100000054</v>
      </c>
    </row>
    <row r="11" spans="1:10" ht="14.25" customHeight="1">
      <c r="A11" s="102" t="s">
        <v>231</v>
      </c>
      <c r="B11" s="103" t="s">
        <v>232</v>
      </c>
      <c r="C11" s="104">
        <v>2308063.3</v>
      </c>
      <c r="D11" s="104">
        <v>2295348.47</v>
      </c>
      <c r="E11" s="104">
        <v>4603411.77</v>
      </c>
      <c r="F11" s="104">
        <v>1314608.09</v>
      </c>
      <c r="G11" s="104">
        <v>28.557256132661802</v>
      </c>
      <c r="H11" s="104">
        <v>9063</v>
      </c>
      <c r="I11" s="104">
        <v>5927082.859999999</v>
      </c>
      <c r="J11" s="105">
        <v>-61145.48000000138</v>
      </c>
    </row>
    <row r="12" spans="1:10" ht="15">
      <c r="A12" s="102" t="s">
        <v>233</v>
      </c>
      <c r="B12" s="103" t="s">
        <v>234</v>
      </c>
      <c r="C12" s="104">
        <v>108151</v>
      </c>
      <c r="D12" s="104">
        <v>88978.77</v>
      </c>
      <c r="E12" s="104">
        <v>197129.77000000002</v>
      </c>
      <c r="F12" s="104">
        <v>43645.85</v>
      </c>
      <c r="G12" s="104">
        <v>22.1406690628209</v>
      </c>
      <c r="H12" s="104">
        <v>90633</v>
      </c>
      <c r="I12" s="104">
        <v>331408.62</v>
      </c>
      <c r="J12" s="105">
        <v>82347.70999999996</v>
      </c>
    </row>
    <row r="13" spans="1:10" ht="14.25" customHeight="1">
      <c r="A13" s="102" t="s">
        <v>235</v>
      </c>
      <c r="B13" s="103" t="s">
        <v>236</v>
      </c>
      <c r="C13" s="104">
        <v>301956</v>
      </c>
      <c r="D13" s="104">
        <v>238730.67</v>
      </c>
      <c r="E13" s="104">
        <v>540686.67</v>
      </c>
      <c r="F13" s="104">
        <v>119302.5</v>
      </c>
      <c r="G13" s="104">
        <v>22.064997459619264</v>
      </c>
      <c r="H13" s="104">
        <v>9913</v>
      </c>
      <c r="I13" s="104">
        <v>669902.17</v>
      </c>
      <c r="J13" s="105">
        <v>-35383.55999999994</v>
      </c>
    </row>
    <row r="14" spans="1:10" ht="15">
      <c r="A14" s="102" t="s">
        <v>237</v>
      </c>
      <c r="B14" s="103" t="s">
        <v>238</v>
      </c>
      <c r="C14" s="104">
        <v>291619</v>
      </c>
      <c r="D14" s="104">
        <v>266087.31</v>
      </c>
      <c r="E14" s="104">
        <v>557706.31</v>
      </c>
      <c r="F14" s="104">
        <v>124475.8</v>
      </c>
      <c r="G14" s="104">
        <v>22.319238238491508</v>
      </c>
      <c r="H14" s="104">
        <v>12183</v>
      </c>
      <c r="I14" s="104">
        <v>694365.1100000001</v>
      </c>
      <c r="J14" s="105">
        <v>6884.600000000093</v>
      </c>
    </row>
    <row r="15" spans="1:10" ht="15">
      <c r="A15" s="102" t="s">
        <v>239</v>
      </c>
      <c r="B15" s="103" t="s">
        <v>240</v>
      </c>
      <c r="C15" s="104">
        <v>821279.6</v>
      </c>
      <c r="D15" s="104">
        <v>1147732.19</v>
      </c>
      <c r="E15" s="104">
        <v>1969011.79</v>
      </c>
      <c r="F15" s="104">
        <v>436951.64</v>
      </c>
      <c r="G15" s="104">
        <v>22.19141816311826</v>
      </c>
      <c r="H15" s="104">
        <v>39480</v>
      </c>
      <c r="I15" s="104">
        <v>2445443.43</v>
      </c>
      <c r="J15" s="105">
        <v>6579.590000000317</v>
      </c>
    </row>
    <row r="16" spans="1:10" ht="15">
      <c r="A16" s="102" t="s">
        <v>241</v>
      </c>
      <c r="B16" s="103" t="s">
        <v>242</v>
      </c>
      <c r="C16" s="104">
        <v>620572.81</v>
      </c>
      <c r="D16" s="104">
        <v>908792</v>
      </c>
      <c r="E16" s="104">
        <v>1529364.81</v>
      </c>
      <c r="F16" s="104">
        <v>328563.14</v>
      </c>
      <c r="G16" s="104">
        <v>21.483634110817547</v>
      </c>
      <c r="H16" s="104">
        <v>40861</v>
      </c>
      <c r="I16" s="104">
        <v>1898788.9500000002</v>
      </c>
      <c r="J16" s="105">
        <v>65250.06000000029</v>
      </c>
    </row>
    <row r="17" spans="1:10" ht="15">
      <c r="A17" s="102" t="s">
        <v>243</v>
      </c>
      <c r="B17" s="103" t="s">
        <v>244</v>
      </c>
      <c r="C17" s="104">
        <v>82770</v>
      </c>
      <c r="D17" s="104">
        <v>134653.41</v>
      </c>
      <c r="E17" s="104">
        <v>217423.41</v>
      </c>
      <c r="F17" s="104">
        <v>50823.88</v>
      </c>
      <c r="G17" s="104">
        <v>23.375532561098183</v>
      </c>
      <c r="H17" s="104">
        <v>0</v>
      </c>
      <c r="I17" s="104">
        <v>268247.29</v>
      </c>
      <c r="J17" s="105">
        <v>-993.4200000000419</v>
      </c>
    </row>
    <row r="18" spans="1:10" s="68" customFormat="1" ht="15">
      <c r="A18" s="106" t="s">
        <v>245</v>
      </c>
      <c r="B18" s="99" t="s">
        <v>246</v>
      </c>
      <c r="C18" s="107">
        <v>248322775.78</v>
      </c>
      <c r="D18" s="107">
        <v>385817881.78999996</v>
      </c>
      <c r="E18" s="107">
        <v>634140657.5699999</v>
      </c>
      <c r="F18" s="107">
        <v>142208348.88</v>
      </c>
      <c r="G18" s="107">
        <v>291.2367141780873</v>
      </c>
      <c r="H18" s="107">
        <v>36229637.25</v>
      </c>
      <c r="I18" s="107">
        <v>812578643.7</v>
      </c>
      <c r="J18" s="107">
        <v>8477673.070000017</v>
      </c>
    </row>
    <row r="19" spans="1:10" ht="16.5" customHeight="1">
      <c r="A19" s="102" t="s">
        <v>247</v>
      </c>
      <c r="B19" s="103" t="s">
        <v>248</v>
      </c>
      <c r="C19" s="104">
        <v>2590763.06</v>
      </c>
      <c r="D19" s="104">
        <v>3889676.22</v>
      </c>
      <c r="E19" s="104">
        <v>6480439.28</v>
      </c>
      <c r="F19" s="104">
        <v>1458476.49</v>
      </c>
      <c r="G19" s="104">
        <v>22.505827567911414</v>
      </c>
      <c r="H19" s="104">
        <v>276218</v>
      </c>
      <c r="I19" s="104">
        <v>8215133.7700000005</v>
      </c>
      <c r="J19" s="105">
        <v>30979.050000000745</v>
      </c>
    </row>
    <row r="20" spans="1:10" ht="15">
      <c r="A20" s="102" t="s">
        <v>249</v>
      </c>
      <c r="B20" s="103" t="s">
        <v>250</v>
      </c>
      <c r="C20" s="104">
        <v>4426557.12</v>
      </c>
      <c r="D20" s="104">
        <v>5885491.99</v>
      </c>
      <c r="E20" s="104">
        <v>10312049.11</v>
      </c>
      <c r="F20" s="104">
        <v>2324763.61</v>
      </c>
      <c r="G20" s="104">
        <v>22.544147969054816</v>
      </c>
      <c r="H20" s="104">
        <v>698974.25</v>
      </c>
      <c r="I20" s="104">
        <v>13335786.969999999</v>
      </c>
      <c r="J20" s="105">
        <v>243960.3900000006</v>
      </c>
    </row>
    <row r="21" spans="1:10" ht="15">
      <c r="A21" s="102" t="s">
        <v>251</v>
      </c>
      <c r="B21" s="103" t="s">
        <v>252</v>
      </c>
      <c r="C21" s="104">
        <v>791471.39</v>
      </c>
      <c r="D21" s="104">
        <v>1215887.19</v>
      </c>
      <c r="E21" s="104">
        <v>2007358.58</v>
      </c>
      <c r="F21" s="104">
        <v>441164.74</v>
      </c>
      <c r="G21" s="104">
        <v>21.97737586076923</v>
      </c>
      <c r="H21" s="104">
        <v>81183</v>
      </c>
      <c r="I21" s="104">
        <v>2529706.3200000003</v>
      </c>
      <c r="J21" s="105">
        <v>1379.2700000000186</v>
      </c>
    </row>
    <row r="22" spans="1:10" ht="15">
      <c r="A22" s="102" t="s">
        <v>253</v>
      </c>
      <c r="B22" s="108" t="s">
        <v>254</v>
      </c>
      <c r="C22" s="104">
        <v>2359228.42</v>
      </c>
      <c r="D22" s="104">
        <v>3122905.06</v>
      </c>
      <c r="E22" s="104">
        <v>5482133.48</v>
      </c>
      <c r="F22" s="104">
        <v>1241985.37</v>
      </c>
      <c r="G22" s="104">
        <v>22.655146477754133</v>
      </c>
      <c r="H22" s="104">
        <v>259144</v>
      </c>
      <c r="I22" s="104">
        <v>6983262.850000001</v>
      </c>
      <c r="J22" s="105">
        <v>-253511.88000000082</v>
      </c>
    </row>
    <row r="23" spans="1:10" ht="15">
      <c r="A23" s="102" t="s">
        <v>255</v>
      </c>
      <c r="B23" s="103" t="s">
        <v>256</v>
      </c>
      <c r="C23" s="104">
        <v>41281307.04</v>
      </c>
      <c r="D23" s="104">
        <v>79795014.8</v>
      </c>
      <c r="E23" s="104">
        <v>121076321.84</v>
      </c>
      <c r="F23" s="104">
        <v>27340227.55</v>
      </c>
      <c r="G23" s="104">
        <v>22.580986219691724</v>
      </c>
      <c r="H23" s="104">
        <v>5609764</v>
      </c>
      <c r="I23" s="104">
        <v>154026313.39000002</v>
      </c>
      <c r="J23" s="105">
        <v>894125.0700000226</v>
      </c>
    </row>
    <row r="24" spans="1:10" ht="15">
      <c r="A24" s="102" t="s">
        <v>257</v>
      </c>
      <c r="B24" s="103" t="s">
        <v>258</v>
      </c>
      <c r="C24" s="104">
        <v>755559</v>
      </c>
      <c r="D24" s="104">
        <v>927435.24</v>
      </c>
      <c r="E24" s="104">
        <v>1682994.24</v>
      </c>
      <c r="F24" s="104">
        <v>384144.42</v>
      </c>
      <c r="G24" s="104">
        <v>22.82505851000417</v>
      </c>
      <c r="H24" s="104">
        <v>100067</v>
      </c>
      <c r="I24" s="104">
        <v>2167205.66</v>
      </c>
      <c r="J24" s="105">
        <v>-11215.919999999925</v>
      </c>
    </row>
    <row r="25" spans="1:10" ht="15">
      <c r="A25" s="102" t="s">
        <v>259</v>
      </c>
      <c r="B25" s="99" t="s">
        <v>260</v>
      </c>
      <c r="C25" s="107">
        <v>1365982.57</v>
      </c>
      <c r="D25" s="107">
        <v>1847624.3099999998</v>
      </c>
      <c r="E25" s="107">
        <v>3213606.88</v>
      </c>
      <c r="F25" s="107">
        <v>724150.3500000001</v>
      </c>
      <c r="G25" s="107"/>
      <c r="H25" s="107">
        <v>40396</v>
      </c>
      <c r="I25" s="107">
        <v>3978153.23</v>
      </c>
      <c r="J25" s="109">
        <v>31992.929999999702</v>
      </c>
    </row>
    <row r="26" spans="1:10" ht="15">
      <c r="A26" s="102"/>
      <c r="B26" s="103" t="s">
        <v>261</v>
      </c>
      <c r="C26" s="104">
        <v>2959.5</v>
      </c>
      <c r="D26" s="104">
        <v>85579.42</v>
      </c>
      <c r="E26" s="104">
        <v>88538.92</v>
      </c>
      <c r="F26" s="104">
        <v>20616.55</v>
      </c>
      <c r="G26" s="104">
        <v>23.28529645493756</v>
      </c>
      <c r="H26" s="104">
        <v>0</v>
      </c>
      <c r="I26" s="104">
        <v>109155.47</v>
      </c>
      <c r="J26" s="105">
        <v>0.5</v>
      </c>
    </row>
    <row r="27" spans="1:10" ht="15">
      <c r="A27" s="102"/>
      <c r="B27" s="103" t="s">
        <v>262</v>
      </c>
      <c r="C27" s="104">
        <v>1363023.07</v>
      </c>
      <c r="D27" s="104">
        <v>1762044.89</v>
      </c>
      <c r="E27" s="104">
        <v>3125067.96</v>
      </c>
      <c r="F27" s="104">
        <v>703533.8</v>
      </c>
      <c r="G27" s="104">
        <v>22.51259201415895</v>
      </c>
      <c r="H27" s="104">
        <v>40396</v>
      </c>
      <c r="I27" s="104">
        <v>3868997.76</v>
      </c>
      <c r="J27" s="105">
        <v>31992.429999999702</v>
      </c>
    </row>
    <row r="28" spans="1:10" s="69" customFormat="1" ht="15">
      <c r="A28" s="106" t="s">
        <v>263</v>
      </c>
      <c r="B28" s="99" t="s">
        <v>264</v>
      </c>
      <c r="C28" s="107">
        <v>20880864.53</v>
      </c>
      <c r="D28" s="107">
        <v>46191114.74</v>
      </c>
      <c r="E28" s="107">
        <v>67071979.27</v>
      </c>
      <c r="F28" s="107">
        <v>13693755.05</v>
      </c>
      <c r="G28" s="107"/>
      <c r="H28" s="107">
        <v>4378524.5</v>
      </c>
      <c r="I28" s="107">
        <v>85144258.82</v>
      </c>
      <c r="J28" s="109">
        <v>1854563.5999999964</v>
      </c>
    </row>
    <row r="29" spans="1:10" ht="14.25">
      <c r="A29" s="110"/>
      <c r="B29" s="103" t="s">
        <v>265</v>
      </c>
      <c r="C29" s="104">
        <v>194293.85</v>
      </c>
      <c r="D29" s="104">
        <v>229494.49</v>
      </c>
      <c r="E29" s="104">
        <v>423788.33999999997</v>
      </c>
      <c r="F29" s="104">
        <v>95528.88</v>
      </c>
      <c r="G29" s="104">
        <v>22.54164897505203</v>
      </c>
      <c r="H29" s="104">
        <v>29902</v>
      </c>
      <c r="I29" s="104">
        <v>549219.22</v>
      </c>
      <c r="J29" s="105">
        <v>9142.439999999944</v>
      </c>
    </row>
    <row r="30" spans="1:10" ht="14.25">
      <c r="A30" s="110"/>
      <c r="B30" s="103" t="s">
        <v>266</v>
      </c>
      <c r="C30" s="104">
        <v>20686570.68</v>
      </c>
      <c r="D30" s="104">
        <v>45961620.25</v>
      </c>
      <c r="E30" s="104">
        <v>66648190.93</v>
      </c>
      <c r="F30" s="104">
        <v>13598226.17</v>
      </c>
      <c r="G30" s="104">
        <v>20.40299366007113</v>
      </c>
      <c r="H30" s="104">
        <v>4348622.5</v>
      </c>
      <c r="I30" s="104">
        <v>84595039.6</v>
      </c>
      <c r="J30" s="105">
        <v>1845421.1599999964</v>
      </c>
    </row>
    <row r="31" spans="1:10" ht="15">
      <c r="A31" s="102" t="s">
        <v>267</v>
      </c>
      <c r="B31" s="103" t="s">
        <v>268</v>
      </c>
      <c r="C31" s="104">
        <v>3579376.41</v>
      </c>
      <c r="D31" s="104">
        <v>7493032.25</v>
      </c>
      <c r="E31" s="104">
        <v>11072408.66</v>
      </c>
      <c r="F31" s="104">
        <v>2519357.33</v>
      </c>
      <c r="G31" s="104">
        <v>22.753471330058368</v>
      </c>
      <c r="H31" s="104">
        <v>553250</v>
      </c>
      <c r="I31" s="104">
        <v>14145015.99</v>
      </c>
      <c r="J31" s="105">
        <v>-62337.54000000097</v>
      </c>
    </row>
    <row r="32" spans="1:10" ht="15">
      <c r="A32" s="102" t="s">
        <v>269</v>
      </c>
      <c r="B32" s="103" t="s">
        <v>270</v>
      </c>
      <c r="C32" s="104">
        <v>6880586.59</v>
      </c>
      <c r="D32" s="104">
        <v>8348450.67</v>
      </c>
      <c r="E32" s="104">
        <v>15229037.26</v>
      </c>
      <c r="F32" s="104">
        <v>3434114.84</v>
      </c>
      <c r="G32" s="104">
        <v>22.549782900721592</v>
      </c>
      <c r="H32" s="104">
        <v>1029983</v>
      </c>
      <c r="I32" s="104">
        <v>19693135.1</v>
      </c>
      <c r="J32" s="105">
        <v>137993.12000000104</v>
      </c>
    </row>
    <row r="33" spans="1:10" s="69" customFormat="1" ht="15">
      <c r="A33" s="106" t="s">
        <v>271</v>
      </c>
      <c r="B33" s="99" t="s">
        <v>272</v>
      </c>
      <c r="C33" s="107">
        <v>156562745.93</v>
      </c>
      <c r="D33" s="107">
        <v>217645302</v>
      </c>
      <c r="E33" s="107">
        <v>374208047.93</v>
      </c>
      <c r="F33" s="107">
        <v>85225949.46000001</v>
      </c>
      <c r="G33" s="107"/>
      <c r="H33" s="107">
        <v>21456424.5</v>
      </c>
      <c r="I33" s="107">
        <v>480890421.89</v>
      </c>
      <c r="J33" s="109">
        <v>5452389.4499999955</v>
      </c>
    </row>
    <row r="34" spans="1:10" ht="14.25">
      <c r="A34" s="110"/>
      <c r="B34" s="103" t="s">
        <v>265</v>
      </c>
      <c r="C34" s="104">
        <v>14557491.24</v>
      </c>
      <c r="D34" s="104">
        <v>16652474.62</v>
      </c>
      <c r="E34" s="104">
        <v>31209965.86</v>
      </c>
      <c r="F34" s="104">
        <v>7066543.92</v>
      </c>
      <c r="G34" s="104">
        <v>22.641946971998387</v>
      </c>
      <c r="H34" s="104">
        <v>2155546</v>
      </c>
      <c r="I34" s="104">
        <v>40432055.78</v>
      </c>
      <c r="J34" s="105">
        <v>424635.44000000507</v>
      </c>
    </row>
    <row r="35" spans="1:10" ht="14.25">
      <c r="A35" s="110"/>
      <c r="B35" s="103" t="s">
        <v>273</v>
      </c>
      <c r="C35" s="104">
        <v>142005254.69</v>
      </c>
      <c r="D35" s="104">
        <v>200992827.38</v>
      </c>
      <c r="E35" s="104">
        <v>342998082.07</v>
      </c>
      <c r="F35" s="104">
        <v>78159405.54</v>
      </c>
      <c r="G35" s="104">
        <v>22.787126116946922</v>
      </c>
      <c r="H35" s="104">
        <v>19300878.5</v>
      </c>
      <c r="I35" s="104">
        <v>440458366.11</v>
      </c>
      <c r="J35" s="105">
        <v>5027754.00999999</v>
      </c>
    </row>
    <row r="36" spans="1:10" ht="15">
      <c r="A36" s="102" t="s">
        <v>274</v>
      </c>
      <c r="B36" s="103" t="s">
        <v>275</v>
      </c>
      <c r="C36" s="104">
        <v>360839.72</v>
      </c>
      <c r="D36" s="104">
        <v>538974.39</v>
      </c>
      <c r="E36" s="104">
        <v>899814.11</v>
      </c>
      <c r="F36" s="104">
        <v>208352.87</v>
      </c>
      <c r="G36" s="104">
        <v>23.1551014464532</v>
      </c>
      <c r="H36" s="104">
        <v>28550</v>
      </c>
      <c r="I36" s="104">
        <v>1136716.98</v>
      </c>
      <c r="J36" s="105">
        <v>-181732.01</v>
      </c>
    </row>
    <row r="37" spans="1:10" ht="15">
      <c r="A37" s="102" t="s">
        <v>276</v>
      </c>
      <c r="B37" s="103" t="s">
        <v>277</v>
      </c>
      <c r="C37" s="104">
        <v>133783.55</v>
      </c>
      <c r="D37" s="104">
        <v>204607.23</v>
      </c>
      <c r="E37" s="104">
        <v>338390.78</v>
      </c>
      <c r="F37" s="104">
        <v>75658.65</v>
      </c>
      <c r="G37" s="104">
        <v>22.358366265180152</v>
      </c>
      <c r="H37" s="104">
        <v>2298</v>
      </c>
      <c r="I37" s="104">
        <v>416347.43000000005</v>
      </c>
      <c r="J37" s="105">
        <v>-12631.999999999942</v>
      </c>
    </row>
    <row r="38" spans="1:10" ht="15">
      <c r="A38" s="102" t="s">
        <v>278</v>
      </c>
      <c r="B38" s="103" t="s">
        <v>279</v>
      </c>
      <c r="C38" s="104">
        <v>3229893</v>
      </c>
      <c r="D38" s="111">
        <v>6738311.97</v>
      </c>
      <c r="E38" s="104">
        <v>9968204.969999999</v>
      </c>
      <c r="F38" s="111">
        <v>1980401.3</v>
      </c>
      <c r="G38" s="104">
        <v>19.867180760830607</v>
      </c>
      <c r="H38" s="111">
        <v>618343</v>
      </c>
      <c r="I38" s="104">
        <v>12566949.27</v>
      </c>
      <c r="J38" s="105">
        <v>-13993.439999999478</v>
      </c>
    </row>
    <row r="39" spans="1:10" ht="15">
      <c r="A39" s="102" t="s">
        <v>280</v>
      </c>
      <c r="B39" s="103" t="s">
        <v>281</v>
      </c>
      <c r="C39" s="104">
        <v>3012534.45</v>
      </c>
      <c r="D39" s="111">
        <v>1904514.09</v>
      </c>
      <c r="E39" s="104">
        <v>4917048.54</v>
      </c>
      <c r="F39" s="111">
        <v>1114627.16</v>
      </c>
      <c r="G39" s="104">
        <v>22.6686222625738</v>
      </c>
      <c r="H39" s="111">
        <v>1085268</v>
      </c>
      <c r="I39" s="104">
        <v>7116943.7</v>
      </c>
      <c r="J39" s="105">
        <v>469805.60000000056</v>
      </c>
    </row>
    <row r="40" spans="1:10" ht="15">
      <c r="A40" s="102" t="s">
        <v>282</v>
      </c>
      <c r="B40" s="103" t="s">
        <v>283</v>
      </c>
      <c r="C40" s="104">
        <v>111283</v>
      </c>
      <c r="D40" s="111">
        <v>69539.64</v>
      </c>
      <c r="E40" s="104">
        <v>180822.64</v>
      </c>
      <c r="F40" s="111">
        <v>41219.69</v>
      </c>
      <c r="G40" s="104">
        <v>22.795646607084155</v>
      </c>
      <c r="H40" s="111">
        <v>11250</v>
      </c>
      <c r="I40" s="104">
        <v>233292.33000000002</v>
      </c>
      <c r="J40" s="105">
        <v>-104092.61999999994</v>
      </c>
    </row>
    <row r="41" spans="1:10" s="68" customFormat="1" ht="15">
      <c r="A41" s="106" t="s">
        <v>284</v>
      </c>
      <c r="B41" s="112" t="s">
        <v>285</v>
      </c>
      <c r="C41" s="107">
        <v>11490806.289999997</v>
      </c>
      <c r="D41" s="107">
        <v>27825762.750000004</v>
      </c>
      <c r="E41" s="107">
        <v>39316569.04</v>
      </c>
      <c r="F41" s="107">
        <v>8964448.969999999</v>
      </c>
      <c r="G41" s="107"/>
      <c r="H41" s="107">
        <v>1850330</v>
      </c>
      <c r="I41" s="107">
        <v>50131348.01</v>
      </c>
      <c r="J41" s="107">
        <v>2082652.920000004</v>
      </c>
    </row>
    <row r="42" spans="1:10" ht="15">
      <c r="A42" s="102" t="s">
        <v>286</v>
      </c>
      <c r="B42" s="113" t="s">
        <v>287</v>
      </c>
      <c r="C42" s="104">
        <v>1698134.18</v>
      </c>
      <c r="D42" s="111">
        <v>1613163.5999999996</v>
      </c>
      <c r="E42" s="104">
        <v>3311297.7799999993</v>
      </c>
      <c r="F42" s="111">
        <v>739505.58</v>
      </c>
      <c r="G42" s="104">
        <v>22.33280209549744</v>
      </c>
      <c r="H42" s="111">
        <v>235416</v>
      </c>
      <c r="I42" s="104">
        <v>4286219.359999999</v>
      </c>
      <c r="J42" s="105">
        <v>-31079.330000001006</v>
      </c>
    </row>
    <row r="43" spans="1:10" ht="15">
      <c r="A43" s="102" t="s">
        <v>288</v>
      </c>
      <c r="B43" s="113" t="s">
        <v>289</v>
      </c>
      <c r="C43" s="104">
        <v>2975296.98</v>
      </c>
      <c r="D43" s="104">
        <v>10705786.3</v>
      </c>
      <c r="E43" s="104">
        <v>13681083.280000001</v>
      </c>
      <c r="F43" s="104">
        <v>3152650.42</v>
      </c>
      <c r="G43" s="104">
        <v>23.043865427007326</v>
      </c>
      <c r="H43" s="104">
        <v>579051</v>
      </c>
      <c r="I43" s="104">
        <v>17412784.700000003</v>
      </c>
      <c r="J43" s="105">
        <v>1644844.6800000034</v>
      </c>
    </row>
    <row r="44" spans="1:10" ht="15">
      <c r="A44" s="102" t="s">
        <v>290</v>
      </c>
      <c r="B44" s="113" t="s">
        <v>291</v>
      </c>
      <c r="C44" s="104">
        <v>791712</v>
      </c>
      <c r="D44" s="104">
        <v>1830901.16</v>
      </c>
      <c r="E44" s="104">
        <v>2622613.16</v>
      </c>
      <c r="F44" s="104">
        <v>596556.27</v>
      </c>
      <c r="G44" s="104">
        <v>22.746636030759486</v>
      </c>
      <c r="H44" s="104">
        <v>102666</v>
      </c>
      <c r="I44" s="104">
        <v>3321835.43</v>
      </c>
      <c r="J44" s="105">
        <v>-80906.71999999974</v>
      </c>
    </row>
    <row r="45" spans="1:10" ht="15">
      <c r="A45" s="102" t="s">
        <v>292</v>
      </c>
      <c r="B45" s="113" t="s">
        <v>293</v>
      </c>
      <c r="C45" s="104">
        <v>27625</v>
      </c>
      <c r="D45" s="104">
        <v>28487.31</v>
      </c>
      <c r="E45" s="104">
        <v>56112.31</v>
      </c>
      <c r="F45" s="104">
        <v>12970.41</v>
      </c>
      <c r="G45" s="104">
        <v>23.115088293460026</v>
      </c>
      <c r="H45" s="104">
        <v>4236</v>
      </c>
      <c r="I45" s="104">
        <v>73318.72</v>
      </c>
      <c r="J45" s="105">
        <v>16424.68</v>
      </c>
    </row>
    <row r="46" spans="1:10" ht="15">
      <c r="A46" s="102" t="s">
        <v>294</v>
      </c>
      <c r="B46" s="114" t="s">
        <v>295</v>
      </c>
      <c r="C46" s="104">
        <v>1987993.52</v>
      </c>
      <c r="D46" s="104">
        <v>3159445.15</v>
      </c>
      <c r="E46" s="104">
        <v>5147438.67</v>
      </c>
      <c r="F46" s="104">
        <v>1168735.4</v>
      </c>
      <c r="G46" s="104">
        <v>22.70518358599501</v>
      </c>
      <c r="H46" s="104">
        <v>368119</v>
      </c>
      <c r="I46" s="104">
        <v>6684293.07</v>
      </c>
      <c r="J46" s="105">
        <v>-131572.29000000004</v>
      </c>
    </row>
    <row r="47" spans="1:10" ht="15">
      <c r="A47" s="102" t="s">
        <v>296</v>
      </c>
      <c r="B47" s="113" t="s">
        <v>297</v>
      </c>
      <c r="C47" s="104">
        <v>586151</v>
      </c>
      <c r="D47" s="104">
        <v>666480.37</v>
      </c>
      <c r="E47" s="104">
        <v>1252631.37</v>
      </c>
      <c r="F47" s="104">
        <v>286457.08</v>
      </c>
      <c r="G47" s="104">
        <v>22.868426167548396</v>
      </c>
      <c r="H47" s="104">
        <v>201068</v>
      </c>
      <c r="I47" s="104">
        <v>1740156.4500000002</v>
      </c>
      <c r="J47" s="105">
        <v>42390.42000000039</v>
      </c>
    </row>
    <row r="48" spans="1:10" ht="15">
      <c r="A48" s="102" t="s">
        <v>298</v>
      </c>
      <c r="B48" s="113" t="s">
        <v>299</v>
      </c>
      <c r="C48" s="104">
        <v>1328384.95</v>
      </c>
      <c r="D48" s="104">
        <v>1435690.21</v>
      </c>
      <c r="E48" s="104">
        <v>2764075.16</v>
      </c>
      <c r="F48" s="104">
        <v>629909.18</v>
      </c>
      <c r="G48" s="104">
        <v>22.789148034599755</v>
      </c>
      <c r="H48" s="104">
        <v>136031</v>
      </c>
      <c r="I48" s="104">
        <v>3530015.3400000003</v>
      </c>
      <c r="J48" s="105">
        <v>40528.42000000039</v>
      </c>
    </row>
    <row r="49" spans="1:10" ht="15">
      <c r="A49" s="102" t="s">
        <v>300</v>
      </c>
      <c r="B49" s="113" t="s">
        <v>301</v>
      </c>
      <c r="C49" s="104">
        <v>1525583.66</v>
      </c>
      <c r="D49" s="104">
        <v>7294754.49</v>
      </c>
      <c r="E49" s="104">
        <v>8820338.15</v>
      </c>
      <c r="F49" s="104">
        <v>2015513.75</v>
      </c>
      <c r="G49" s="104">
        <v>22.850753743494515</v>
      </c>
      <c r="H49" s="104">
        <v>159742</v>
      </c>
      <c r="I49" s="104">
        <v>10995593.9</v>
      </c>
      <c r="J49" s="105">
        <v>170172.8900000006</v>
      </c>
    </row>
    <row r="50" spans="1:10" ht="15">
      <c r="A50" s="102" t="s">
        <v>302</v>
      </c>
      <c r="B50" s="113" t="s">
        <v>303</v>
      </c>
      <c r="C50" s="104">
        <v>80172.2</v>
      </c>
      <c r="D50" s="104">
        <v>66575.18</v>
      </c>
      <c r="E50" s="104">
        <v>146747.38</v>
      </c>
      <c r="F50" s="104">
        <v>35136.48</v>
      </c>
      <c r="G50" s="104">
        <v>23.94351435780319</v>
      </c>
      <c r="H50" s="104">
        <v>1150</v>
      </c>
      <c r="I50" s="104">
        <v>183033.86000000002</v>
      </c>
      <c r="J50" s="105">
        <v>-72843.41</v>
      </c>
    </row>
    <row r="51" spans="1:10" ht="15">
      <c r="A51" s="102" t="s">
        <v>304</v>
      </c>
      <c r="B51" s="113" t="s">
        <v>305</v>
      </c>
      <c r="C51" s="104">
        <v>242548.69</v>
      </c>
      <c r="D51" s="104">
        <v>553203.28</v>
      </c>
      <c r="E51" s="104">
        <v>795751.97</v>
      </c>
      <c r="F51" s="104">
        <v>163014.67</v>
      </c>
      <c r="G51" s="104">
        <v>20.485613123898396</v>
      </c>
      <c r="H51" s="104">
        <v>46075</v>
      </c>
      <c r="I51" s="104">
        <v>1004841.64</v>
      </c>
      <c r="J51" s="105">
        <v>180202.19000000006</v>
      </c>
    </row>
    <row r="52" spans="1:10" ht="15">
      <c r="A52" s="102" t="s">
        <v>306</v>
      </c>
      <c r="B52" s="113" t="s">
        <v>307</v>
      </c>
      <c r="C52" s="104">
        <v>138692.45</v>
      </c>
      <c r="D52" s="104">
        <v>191848.99</v>
      </c>
      <c r="E52" s="104">
        <v>330541.44</v>
      </c>
      <c r="F52" s="104">
        <v>75099.44</v>
      </c>
      <c r="G52" s="104">
        <v>22.72012852609343</v>
      </c>
      <c r="H52" s="104">
        <v>13966</v>
      </c>
      <c r="I52" s="104">
        <v>419606.88</v>
      </c>
      <c r="J52" s="105">
        <v>24609.02999999997</v>
      </c>
    </row>
    <row r="53" spans="1:10" ht="15">
      <c r="A53" s="102" t="s">
        <v>308</v>
      </c>
      <c r="B53" s="113" t="s">
        <v>309</v>
      </c>
      <c r="C53" s="104">
        <v>104924.66</v>
      </c>
      <c r="D53" s="104">
        <v>276468.91</v>
      </c>
      <c r="E53" s="104">
        <v>381393.56999999995</v>
      </c>
      <c r="F53" s="104">
        <v>87411.34</v>
      </c>
      <c r="G53" s="104">
        <v>22.91893384568597</v>
      </c>
      <c r="H53" s="104">
        <v>2810</v>
      </c>
      <c r="I53" s="104">
        <v>471614.9099999999</v>
      </c>
      <c r="J53" s="105">
        <v>279882.35999999987</v>
      </c>
    </row>
    <row r="54" spans="1:10" ht="15">
      <c r="A54" s="102" t="s">
        <v>315</v>
      </c>
      <c r="B54" s="113" t="s">
        <v>316</v>
      </c>
      <c r="C54" s="104">
        <v>3587</v>
      </c>
      <c r="D54" s="104">
        <v>2957.8</v>
      </c>
      <c r="E54" s="104">
        <v>6544.8</v>
      </c>
      <c r="F54" s="104">
        <v>1488.95</v>
      </c>
      <c r="G54" s="104">
        <v>22.750122234445666</v>
      </c>
      <c r="H54" s="104">
        <v>0</v>
      </c>
      <c r="I54" s="104">
        <v>8033.75</v>
      </c>
      <c r="J54" s="105">
        <v>0</v>
      </c>
    </row>
    <row r="55" spans="1:10" s="70" customFormat="1" ht="20.25" customHeight="1" thickBot="1">
      <c r="A55" s="115"/>
      <c r="B55" s="116" t="s">
        <v>310</v>
      </c>
      <c r="C55" s="117">
        <v>313491564.22</v>
      </c>
      <c r="D55" s="117">
        <v>463677262.92999995</v>
      </c>
      <c r="E55" s="117">
        <v>777168827.15</v>
      </c>
      <c r="F55" s="117">
        <v>174715545.17</v>
      </c>
      <c r="G55" s="117"/>
      <c r="H55" s="117">
        <v>40846223.29</v>
      </c>
      <c r="I55" s="117">
        <v>992730595.6099999</v>
      </c>
      <c r="J55" s="118">
        <v>14803737.850000026</v>
      </c>
    </row>
    <row r="56" spans="1:10" ht="15">
      <c r="A56" s="119"/>
      <c r="B56" s="120"/>
      <c r="C56" s="120"/>
      <c r="D56" s="120"/>
      <c r="E56" s="120"/>
      <c r="F56" s="120"/>
      <c r="G56" s="120"/>
      <c r="H56" s="120"/>
      <c r="I56" s="120"/>
      <c r="J56" s="119"/>
    </row>
    <row r="57" spans="1:10" ht="15">
      <c r="A57" s="173" t="s">
        <v>349</v>
      </c>
      <c r="B57" s="173"/>
      <c r="C57" s="173"/>
      <c r="D57" s="173"/>
      <c r="E57" s="173"/>
      <c r="F57" s="173"/>
      <c r="G57" s="173"/>
      <c r="H57" s="173"/>
      <c r="I57" s="121"/>
      <c r="J57" s="119"/>
    </row>
    <row r="58" spans="1:10" ht="15">
      <c r="A58" s="173" t="s">
        <v>344</v>
      </c>
      <c r="B58" s="173"/>
      <c r="C58" s="173"/>
      <c r="D58" s="173"/>
      <c r="E58" s="173"/>
      <c r="F58" s="122"/>
      <c r="G58" s="123"/>
      <c r="H58" s="123"/>
      <c r="I58" s="124"/>
      <c r="J58" s="119"/>
    </row>
    <row r="60" spans="1:10" ht="21.7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19"/>
    </row>
    <row r="61" spans="1:10" ht="15">
      <c r="A61" s="121"/>
      <c r="B61" s="119"/>
      <c r="C61" s="119"/>
      <c r="D61" s="119"/>
      <c r="E61" s="119"/>
      <c r="F61" s="119"/>
      <c r="G61" s="119"/>
      <c r="H61" s="119"/>
      <c r="I61" s="119"/>
      <c r="J61" s="119"/>
    </row>
  </sheetData>
  <sheetProtection/>
  <mergeCells count="4">
    <mergeCell ref="A1:I1"/>
    <mergeCell ref="A3:B3"/>
    <mergeCell ref="A57:H57"/>
    <mergeCell ref="A58:E5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2015-02-19T13:54:21Z</cp:lastPrinted>
  <dcterms:created xsi:type="dcterms:W3CDTF">1996-11-27T10:00:04Z</dcterms:created>
  <dcterms:modified xsi:type="dcterms:W3CDTF">2016-07-11T12:44:03Z</dcterms:modified>
  <cp:category/>
  <cp:version/>
  <cp:contentType/>
  <cp:contentStatus/>
</cp:coreProperties>
</file>